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6.xml" ContentType="application/vnd.openxmlformats-officedocument.spreadsheetml.comments+xml"/>
  <Override PartName="/xl/drawings/drawing10.xml" ContentType="application/vnd.openxmlformats-officedocument.drawing+xml"/>
  <Override PartName="/xl/comments7.xml" ContentType="application/vnd.openxmlformats-officedocument.spreadsheetml.comments+xml"/>
  <Override PartName="/xl/drawings/drawing11.xml" ContentType="application/vnd.openxmlformats-officedocument.drawing+xml"/>
  <Override PartName="/xl/comments8.xml" ContentType="application/vnd.openxmlformats-officedocument.spreadsheetml.comments+xml"/>
  <Override PartName="/xl/drawings/drawing12.xml" ContentType="application/vnd.openxmlformats-officedocument.drawing+xml"/>
  <Override PartName="/xl/comments9.xml" ContentType="application/vnd.openxmlformats-officedocument.spreadsheetml.comments+xml"/>
  <Override PartName="/xl/drawings/drawing13.xml" ContentType="application/vnd.openxmlformats-officedocument.drawing+xml"/>
  <Override PartName="/xl/comments10.xml" ContentType="application/vnd.openxmlformats-officedocument.spreadsheetml.comments+xml"/>
  <Override PartName="/xl/drawings/drawing14.xml" ContentType="application/vnd.openxmlformats-officedocument.drawing+xml"/>
  <Override PartName="/xl/comments11.xml" ContentType="application/vnd.openxmlformats-officedocument.spreadsheetml.comments+xml"/>
  <Override PartName="/xl/drawings/drawing15.xml" ContentType="application/vnd.openxmlformats-officedocument.drawing+xml"/>
  <Override PartName="/xl/comments12.xml" ContentType="application/vnd.openxmlformats-officedocument.spreadsheetml.comments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97-2015 - UDESC - Hospedagem (agência) - Vig 10.05.16\"/>
    </mc:Choice>
  </mc:AlternateContent>
  <bookViews>
    <workbookView xWindow="0" yWindow="0" windowWidth="20490" windowHeight="7155" tabRatio="878" firstSheet="2" activeTab="15"/>
  </bookViews>
  <sheets>
    <sheet name="Reit-PROAD" sheetId="75" r:id="rId1"/>
    <sheet name="Reit-PROEN" sheetId="175" r:id="rId2"/>
    <sheet name="Reit-PROEX" sheetId="176" r:id="rId3"/>
    <sheet name="Museu" sheetId="177" r:id="rId4"/>
    <sheet name="ESAG" sheetId="178" r:id="rId5"/>
    <sheet name="CEART" sheetId="179" r:id="rId6"/>
    <sheet name="FAED" sheetId="180" r:id="rId7"/>
    <sheet name="CEAD" sheetId="181" r:id="rId8"/>
    <sheet name="CEFID" sheetId="182" r:id="rId9"/>
    <sheet name="CERES" sheetId="183" r:id="rId10"/>
    <sheet name="CESFI" sheetId="184" r:id="rId11"/>
    <sheet name="CCT" sheetId="185" r:id="rId12"/>
    <sheet name="CEO" sheetId="186" r:id="rId13"/>
    <sheet name="CEAVI" sheetId="187" r:id="rId14"/>
    <sheet name="CEPLAN" sheetId="188" r:id="rId15"/>
    <sheet name="GESTOR" sheetId="189" r:id="rId16"/>
    <sheet name="Modelo Anexo II IN 002_2014" sheetId="77" r:id="rId17"/>
  </sheets>
  <definedNames>
    <definedName name="diasuteis" localSheetId="11">#REF!</definedName>
    <definedName name="diasuteis" localSheetId="7">#REF!</definedName>
    <definedName name="diasuteis" localSheetId="5">#REF!</definedName>
    <definedName name="diasuteis" localSheetId="13">#REF!</definedName>
    <definedName name="diasuteis" localSheetId="8">#REF!</definedName>
    <definedName name="diasuteis" localSheetId="12">#REF!</definedName>
    <definedName name="diasuteis" localSheetId="14">#REF!</definedName>
    <definedName name="diasuteis" localSheetId="9">#REF!</definedName>
    <definedName name="diasuteis" localSheetId="10">#REF!</definedName>
    <definedName name="diasuteis" localSheetId="4">#REF!</definedName>
    <definedName name="diasuteis" localSheetId="6">#REF!</definedName>
    <definedName name="diasuteis" localSheetId="15">#REF!</definedName>
    <definedName name="diasuteis" localSheetId="3">#REF!</definedName>
    <definedName name="diasuteis" localSheetId="0">#REF!</definedName>
    <definedName name="diasuteis" localSheetId="1">#REF!</definedName>
    <definedName name="diasuteis" localSheetId="2">#REF!</definedName>
    <definedName name="diasuteis">#REF!</definedName>
    <definedName name="Ferias" localSheetId="11">#REF!</definedName>
    <definedName name="Ferias" localSheetId="7">#REF!</definedName>
    <definedName name="Ferias" localSheetId="5">#REF!</definedName>
    <definedName name="Ferias" localSheetId="13">#REF!</definedName>
    <definedName name="Ferias" localSheetId="9">#REF!</definedName>
    <definedName name="Ferias" localSheetId="15">#REF!</definedName>
    <definedName name="Ferias" localSheetId="3">#REF!</definedName>
    <definedName name="Ferias" localSheetId="1">#REF!</definedName>
    <definedName name="Ferias">#REF!</definedName>
    <definedName name="RD" localSheetId="11">OFFSET(#REF!,(MATCH(SMALL(#REF!,ROW()-10),#REF!,0)-1),0)</definedName>
    <definedName name="RD" localSheetId="7">OFFSET(#REF!,(MATCH(SMALL(#REF!,ROW()-10),#REF!,0)-1),0)</definedName>
    <definedName name="RD" localSheetId="5">OFFSET(#REF!,(MATCH(SMALL(#REF!,ROW()-10),#REF!,0)-1),0)</definedName>
    <definedName name="RD" localSheetId="13">OFFSET(#REF!,(MATCH(SMALL(#REF!,ROW()-10),#REF!,0)-1),0)</definedName>
    <definedName name="RD" localSheetId="9">OFFSET(#REF!,(MATCH(SMALL(#REF!,ROW()-10),#REF!,0)-1),0)</definedName>
    <definedName name="RD" localSheetId="15">OFFSET(#REF!,(MATCH(SMALL(#REF!,ROW()-10),#REF!,0)-1),0)</definedName>
    <definedName name="RD" localSheetId="3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6" i="186" l="1"/>
  <c r="G4" i="182" l="1"/>
  <c r="F7" i="176" l="1"/>
  <c r="G5" i="180"/>
  <c r="G6" i="180"/>
  <c r="G7" i="180"/>
  <c r="G8" i="180"/>
  <c r="G9" i="180"/>
  <c r="G4" i="180"/>
  <c r="F9" i="183" l="1"/>
  <c r="F9" i="179"/>
  <c r="G5" i="179"/>
  <c r="G6" i="179"/>
  <c r="G7" i="179"/>
  <c r="G8" i="179"/>
  <c r="G9" i="179"/>
  <c r="G4" i="179"/>
  <c r="I9" i="180" l="1"/>
  <c r="I8" i="180"/>
  <c r="I6" i="180"/>
  <c r="L9" i="180"/>
  <c r="L6" i="180"/>
  <c r="J9" i="180"/>
  <c r="J8" i="180"/>
  <c r="J6" i="180"/>
  <c r="J5" i="180"/>
  <c r="I5" i="180"/>
  <c r="F7" i="187" l="1"/>
  <c r="F7" i="184"/>
  <c r="F7" i="185" l="1"/>
  <c r="L6" i="185" l="1"/>
  <c r="L5" i="185"/>
  <c r="F6" i="182" l="1"/>
  <c r="F6" i="175"/>
  <c r="F5" i="75"/>
  <c r="F5" i="176"/>
  <c r="F9" i="188" l="1"/>
  <c r="G9" i="186" l="1"/>
  <c r="H9" i="186" s="1"/>
  <c r="G8" i="186"/>
  <c r="H8" i="186" s="1"/>
  <c r="G7" i="186"/>
  <c r="H7" i="186" s="1"/>
  <c r="F6" i="186"/>
  <c r="G6" i="186" s="1"/>
  <c r="H6" i="186" s="1"/>
  <c r="G5" i="186"/>
  <c r="H5" i="186" s="1"/>
  <c r="G4" i="186"/>
  <c r="H4" i="186" s="1"/>
  <c r="F9" i="184" l="1"/>
  <c r="F6" i="184"/>
  <c r="F6" i="179" l="1"/>
  <c r="F9" i="75" l="1"/>
  <c r="F6" i="75" l="1"/>
  <c r="F6" i="188" l="1"/>
  <c r="F5" i="185" l="1"/>
  <c r="G5" i="185" s="1"/>
  <c r="F5" i="188"/>
  <c r="F7" i="75" l="1"/>
  <c r="F5" i="179" l="1"/>
  <c r="J8" i="189" l="1"/>
  <c r="J5" i="189"/>
  <c r="F9" i="182" l="1"/>
  <c r="F9" i="175"/>
  <c r="F8" i="189" s="1"/>
  <c r="F4" i="189" l="1"/>
  <c r="F5" i="189"/>
  <c r="F6" i="189"/>
  <c r="F7" i="189"/>
  <c r="F3" i="189"/>
  <c r="G9" i="188"/>
  <c r="H9" i="188" s="1"/>
  <c r="G8" i="188"/>
  <c r="H8" i="188" s="1"/>
  <c r="G7" i="188"/>
  <c r="H7" i="188" s="1"/>
  <c r="G6" i="188"/>
  <c r="H6" i="188" s="1"/>
  <c r="G5" i="188"/>
  <c r="H5" i="188" s="1"/>
  <c r="G4" i="188"/>
  <c r="H4" i="188" s="1"/>
  <c r="G9" i="187"/>
  <c r="H9" i="187" s="1"/>
  <c r="G8" i="187"/>
  <c r="H8" i="187" s="1"/>
  <c r="G7" i="187"/>
  <c r="H7" i="187" s="1"/>
  <c r="G6" i="187"/>
  <c r="H6" i="187" s="1"/>
  <c r="G5" i="187"/>
  <c r="H5" i="187" s="1"/>
  <c r="G4" i="187"/>
  <c r="H4" i="187" s="1"/>
  <c r="G9" i="185"/>
  <c r="H9" i="185" s="1"/>
  <c r="G8" i="185"/>
  <c r="H8" i="185" s="1"/>
  <c r="G7" i="185"/>
  <c r="H7" i="185" s="1"/>
  <c r="G6" i="185"/>
  <c r="H6" i="185" s="1"/>
  <c r="H5" i="185"/>
  <c r="G4" i="185"/>
  <c r="H4" i="185" s="1"/>
  <c r="G9" i="184"/>
  <c r="H9" i="184" s="1"/>
  <c r="G8" i="184"/>
  <c r="H8" i="184" s="1"/>
  <c r="G7" i="184"/>
  <c r="H7" i="184" s="1"/>
  <c r="G6" i="184"/>
  <c r="H6" i="184" s="1"/>
  <c r="G5" i="184"/>
  <c r="H5" i="184" s="1"/>
  <c r="G4" i="184"/>
  <c r="H4" i="184" s="1"/>
  <c r="G9" i="183"/>
  <c r="H9" i="183" s="1"/>
  <c r="G8" i="183"/>
  <c r="H8" i="183" s="1"/>
  <c r="G7" i="183"/>
  <c r="H7" i="183" s="1"/>
  <c r="G6" i="183"/>
  <c r="H6" i="183" s="1"/>
  <c r="G5" i="183"/>
  <c r="H5" i="183" s="1"/>
  <c r="G4" i="183"/>
  <c r="H4" i="183" s="1"/>
  <c r="G9" i="182"/>
  <c r="H9" i="182" s="1"/>
  <c r="G8" i="182"/>
  <c r="H8" i="182" s="1"/>
  <c r="G7" i="182"/>
  <c r="H7" i="182" s="1"/>
  <c r="G6" i="182"/>
  <c r="H6" i="182" s="1"/>
  <c r="G5" i="182"/>
  <c r="H5" i="182" s="1"/>
  <c r="H4" i="182"/>
  <c r="G9" i="181"/>
  <c r="H9" i="181" s="1"/>
  <c r="G8" i="181"/>
  <c r="H8" i="181" s="1"/>
  <c r="G7" i="181"/>
  <c r="H7" i="181" s="1"/>
  <c r="G6" i="181"/>
  <c r="H6" i="181" s="1"/>
  <c r="G5" i="181"/>
  <c r="H5" i="181" s="1"/>
  <c r="G4" i="181"/>
  <c r="H4" i="181" s="1"/>
  <c r="H9" i="180"/>
  <c r="H8" i="180"/>
  <c r="H7" i="180"/>
  <c r="H6" i="180"/>
  <c r="H5" i="180"/>
  <c r="H4" i="180"/>
  <c r="H9" i="179"/>
  <c r="H8" i="179"/>
  <c r="H7" i="179"/>
  <c r="H6" i="179"/>
  <c r="H5" i="179"/>
  <c r="H4" i="179"/>
  <c r="G9" i="178"/>
  <c r="H9" i="178" s="1"/>
  <c r="G8" i="178"/>
  <c r="H8" i="178" s="1"/>
  <c r="G7" i="178"/>
  <c r="H7" i="178" s="1"/>
  <c r="G6" i="178"/>
  <c r="H6" i="178" s="1"/>
  <c r="G5" i="178"/>
  <c r="H5" i="178" s="1"/>
  <c r="G4" i="178"/>
  <c r="H4" i="178" s="1"/>
  <c r="G9" i="177"/>
  <c r="H9" i="177" s="1"/>
  <c r="G8" i="177"/>
  <c r="H8" i="177" s="1"/>
  <c r="H7" i="177"/>
  <c r="G7" i="177"/>
  <c r="H6" i="177"/>
  <c r="G6" i="177"/>
  <c r="H5" i="177"/>
  <c r="G5" i="177"/>
  <c r="G4" i="177"/>
  <c r="H4" i="177" s="1"/>
  <c r="G9" i="176"/>
  <c r="H9" i="176" s="1"/>
  <c r="G8" i="176"/>
  <c r="H8" i="176" s="1"/>
  <c r="G7" i="176"/>
  <c r="H7" i="176" s="1"/>
  <c r="G6" i="176"/>
  <c r="H6" i="176" s="1"/>
  <c r="G5" i="176"/>
  <c r="H5" i="176" s="1"/>
  <c r="G4" i="176"/>
  <c r="H4" i="176" s="1"/>
  <c r="G9" i="175"/>
  <c r="H9" i="175" s="1"/>
  <c r="G8" i="175"/>
  <c r="H8" i="175" s="1"/>
  <c r="G7" i="175"/>
  <c r="H7" i="175" s="1"/>
  <c r="G6" i="175"/>
  <c r="H6" i="175" s="1"/>
  <c r="G5" i="175"/>
  <c r="H5" i="175" s="1"/>
  <c r="G4" i="175"/>
  <c r="H4" i="175" s="1"/>
  <c r="F9" i="189" l="1"/>
  <c r="J14" i="189" s="1"/>
  <c r="G5" i="75"/>
  <c r="G4" i="189" s="1"/>
  <c r="H4" i="189" s="1"/>
  <c r="G6" i="75"/>
  <c r="G5" i="189" s="1"/>
  <c r="H5" i="189" s="1"/>
  <c r="G7" i="75"/>
  <c r="G6" i="189" s="1"/>
  <c r="H6" i="189" s="1"/>
  <c r="G8" i="75"/>
  <c r="G7" i="189" s="1"/>
  <c r="H7" i="189" s="1"/>
  <c r="G9" i="75"/>
  <c r="G8" i="189" s="1"/>
  <c r="H8" i="189" s="1"/>
  <c r="G4" i="75"/>
  <c r="G3" i="189" s="1"/>
  <c r="H3" i="189" l="1"/>
  <c r="G9" i="189"/>
  <c r="J15" i="189" s="1"/>
  <c r="J17" i="189" s="1"/>
  <c r="H6" i="75"/>
  <c r="H4" i="75"/>
  <c r="H9" i="75"/>
  <c r="H8" i="75"/>
  <c r="H7" i="75"/>
  <c r="H5" i="75"/>
</calcChain>
</file>

<file path=xl/comments1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cedidos para o CESFI
26 cedidos para o CEFID
269 1º ADITIVO
15 cedidos para o CEO
30 cedidos para o CEO</t>
        </r>
      </text>
    </commen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19 - cedidos para o CESFI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357 1 ADITIVO
20 - cedido pelo ceart
20 - cedido pelo ceplan
24 - cedido pelo ceres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 cedidos para CEFID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55 cedidos para CEFID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  <author>Roberta kloster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cedidos para CCT
8 cedido para o CEART</t>
        </r>
      </text>
    </comment>
    <comment ref="F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cedido para o CESFI
11 - cedidos para cesfi
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8 - cedido pela PROEX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15 - CEDIDO PARA O CESFI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para Reitoria
60 - cedido para o Cesfi
15 - cedido pelo CEPLAN
15- cedido pelo CERES
</t>
        </r>
      </text>
    </comment>
  </commentList>
</comments>
</file>

<file path=xl/comments5.xml><?xml version="1.0" encoding="utf-8"?>
<comments xmlns="http://schemas.openxmlformats.org/spreadsheetml/2006/main">
  <authors>
    <author>Ronan Nocetti Tormena</author>
    <author>Gabriela Monteiro</author>
  </authors>
  <commentList>
    <comment ref="P1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REIT-PROEX, CONFORME NOS AUTOS</t>
        </r>
      </text>
    </comment>
    <comment ref="I5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J5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
</t>
        </r>
      </text>
    </comment>
    <comment ref="I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J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L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I8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J8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I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J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  <comment ref="L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SUPRESSÃO 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26 cedidos pela Reit/PROAD
50 cedidos pela REIT/PROEN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55 cedidos pela REIT/PROEN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24 - cedido para reitoria
15 - cedido para o ceart</t>
        </r>
      </text>
    </comment>
  </commentList>
</comments>
</file>

<file path=xl/comments8.xml><?xml version="1.0" encoding="utf-8"?>
<comments xmlns="http://schemas.openxmlformats.org/spreadsheetml/2006/main">
  <authors>
    <author>Roberta kloster</author>
    <author>Gabriela Monteiro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CEDIDOS PELA REIT
15 cedidos pelo ceart</t>
        </r>
      </text>
    </commen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19 - cedidos pela reitoria
5 - cedidos pela proex
40 - cedidos pelo CCT
11- cedidos pela proex
5 - cedidos pelo ceavi</t>
        </r>
      </text>
    </comment>
    <comment ref="F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60 cedidos pelo CEART</t>
        </r>
      </text>
    </comment>
  </commentList>
</comments>
</file>

<file path=xl/comments9.xml><?xml version="1.0" encoding="utf-8"?>
<comments xmlns="http://schemas.openxmlformats.org/spreadsheetml/2006/main">
  <authors>
    <author>Gabriela Monteiro</author>
    <author>Roberta kloster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cedidos pela Reitoria/PROEX
02 cedidos pelo CEPLAN</t>
        </r>
      </text>
    </comment>
    <comment ref="L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Estorno de saldo AF 1982/2015, não utilizado em 2015</t>
        </r>
      </text>
    </comment>
    <comment ref="L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Estorno de saldo AF 1982/2015, não utilizado em 2015</t>
        </r>
      </text>
    </comment>
    <comment ref="F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40 - cedidos para o CESFI</t>
        </r>
      </text>
    </comment>
  </commentList>
</comments>
</file>

<file path=xl/comments10.xml><?xml version="1.0" encoding="utf-8"?>
<comments xmlns="http://schemas.openxmlformats.org/spreadsheetml/2006/main">
  <authors>
    <author>Colaborador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>QUANTITATIVO CEDIDO PARA O CEO:</t>
        </r>
        <r>
          <rPr>
            <sz val="9"/>
            <color indexed="81"/>
            <rFont val="Segoe UI"/>
            <family val="2"/>
          </rPr>
          <t xml:space="preserve">
15 diárias cedidas pela Reitoria/CAD conforme e-mail em 14/10/2015.
05 diárias cedidas pelo CEPLAN conforme e-mail em 20/10/2015
</t>
        </r>
        <r>
          <rPr>
            <b/>
            <sz val="9"/>
            <color indexed="81"/>
            <rFont val="Segoe UI"/>
            <family val="2"/>
          </rPr>
          <t xml:space="preserve">
SUPRESSÃO ORDEM DE SERVIÇO 2080/2015- RETORNO PARA  SALDO DA ATA DE 6 DIÁRIAS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Roberta kloster</author>
  </authors>
  <commentLis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cedidos para o cesfi</t>
        </r>
      </text>
    </comment>
  </commentList>
</comments>
</file>

<file path=xl/comments12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02 cedido para o CCT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05 cedidos para o CEO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para Reitoria
15 - cedido para CEART</t>
        </r>
      </text>
    </comment>
  </commentList>
</comments>
</file>

<file path=xl/sharedStrings.xml><?xml version="1.0" encoding="utf-8"?>
<sst xmlns="http://schemas.openxmlformats.org/spreadsheetml/2006/main" count="415" uniqueCount="137">
  <si>
    <t>Saldo / Automático</t>
  </si>
  <si>
    <t>LOTE</t>
  </si>
  <si>
    <t>...../...../......</t>
  </si>
  <si>
    <t>FORNECEDOR</t>
  </si>
  <si>
    <t>ITEM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</si>
  <si>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</si>
  <si>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</si>
  <si>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</si>
  <si>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</si>
  <si>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</si>
  <si>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</si>
  <si>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</si>
  <si>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</si>
  <si>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</si>
  <si>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</si>
  <si>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</si>
  <si>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</si>
  <si>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</si>
  <si>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</si>
  <si>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</si>
  <si>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</si>
  <si>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</si>
  <si>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</si>
  <si>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</si>
  <si>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</si>
  <si>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</si>
  <si>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</si>
  <si>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</si>
  <si>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</si>
  <si>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</si>
  <si>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</si>
  <si>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</si>
  <si>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</si>
  <si>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</si>
  <si>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</si>
  <si>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</si>
  <si>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 xml:space="preserve"> AF/OS nº  xxxx/2015 Qtde. DT</t>
  </si>
  <si>
    <t>CENTRO PARTICIPANTE: ESAG</t>
  </si>
  <si>
    <t>CENTRO PARTICIPANTE: FAED</t>
  </si>
  <si>
    <t>CENTRO PARTICIPANTE: CEFID</t>
  </si>
  <si>
    <t xml:space="preserve">OBJETO: : CONTRATAÇÃO DE AGÊNCIA DE TURISMO PARA PRESTAÇÃO DE SERVIÇOS RELATIVOS À COTAÇÃO, RESERVA E EMISSÃO DE HOSPEDAGENS EM HOTÉIS E DEMAIS SERVIÇOS NECESSÁRIOS E CORRELATOS À UDESC. </t>
  </si>
  <si>
    <t>PROCESSO: 0097/2015/UDESC</t>
  </si>
  <si>
    <t>VIGÊNCIA DA ATA 11/05/2015 até 10/05/2016</t>
  </si>
  <si>
    <t xml:space="preserve">HOSPEDAGEM (diária) de R$ 200,00 a 101,00 </t>
  </si>
  <si>
    <t>HOSPEDAGEM (diária) de R$ 300,00 a 201,00</t>
  </si>
  <si>
    <t>HOSPEDAGEM (diária) de R$ 500,00 a 301,00</t>
  </si>
  <si>
    <t xml:space="preserve">HOSPEDAGEM (diária) Abaixo de R$ 100,00 </t>
  </si>
  <si>
    <t>ALIMENTAÇÃO Almoço e/ou Jantar (por pessoa) de R$ 100,00 a 51,00</t>
  </si>
  <si>
    <t>ALIMENTAÇÃO Almoço e/ou Jantar (por pessoa) Abaixo de R$ 50,00</t>
  </si>
  <si>
    <t>Arancíbia Turismo Ltda (MA Travel - Soluções em viagens)</t>
  </si>
  <si>
    <t>DESCONTO     %</t>
  </si>
  <si>
    <t>CENTRO PARTICIPANTE: REITORIA PROAD</t>
  </si>
  <si>
    <t>CENTRO PARTICIPANTE: REITORIA PROEN</t>
  </si>
  <si>
    <t>CENTRO PARTICIPANTE: REITORIA PROEX</t>
  </si>
  <si>
    <t>CENTRO PARTICIPANTE: MUSEU</t>
  </si>
  <si>
    <t>SALDO</t>
  </si>
  <si>
    <t>QTT UTILIZADA</t>
  </si>
  <si>
    <t>QTT REGISTRADA</t>
  </si>
  <si>
    <t>1º ADITIVO</t>
  </si>
  <si>
    <t>QTT</t>
  </si>
  <si>
    <t>PERCENT  %</t>
  </si>
  <si>
    <t xml:space="preserve"> AF/OS nº  1427/2015 Qtde. DT</t>
  </si>
  <si>
    <t>OS846/2015</t>
  </si>
  <si>
    <t>OS847/2015</t>
  </si>
  <si>
    <t>OS995/2015 PRAPEG</t>
  </si>
  <si>
    <t xml:space="preserve"> AF/OS nº  1112/2015 Qtde. DT</t>
  </si>
  <si>
    <t xml:space="preserve"> AF/OS nº 1137/2015 40</t>
  </si>
  <si>
    <t xml:space="preserve"> AF/OS nº  1188/2015 90</t>
  </si>
  <si>
    <t xml:space="preserve"> AF/OS nº  1688/2015 Qtde. DT</t>
  </si>
  <si>
    <t xml:space="preserve"> AF/OS nº  1689/2015 Qtde. DT</t>
  </si>
  <si>
    <t xml:space="preserve"> AF/OS nº  1775/2015 Qtde. DT</t>
  </si>
  <si>
    <t xml:space="preserve"> AF/OS nº  843/2015 Qtde. DT</t>
  </si>
  <si>
    <t xml:space="preserve"> AF/OS nº  924/2015 Qtde. DT</t>
  </si>
  <si>
    <t>11/06/2015.</t>
  </si>
  <si>
    <t xml:space="preserve"> AF/OS nº  907/2015 Qtde. DT</t>
  </si>
  <si>
    <t xml:space="preserve"> AF/OS nº  1148/2015 Qtde. DT</t>
  </si>
  <si>
    <t xml:space="preserve"> AF/OS nº  1480/2015 Qtde. DT</t>
  </si>
  <si>
    <t xml:space="preserve"> AF/OS nº  1528/2015 Qtde. DT</t>
  </si>
  <si>
    <t xml:space="preserve"> AF/OS nº  2031/2015 Qtde. DT</t>
  </si>
  <si>
    <t xml:space="preserve"> AF/OS nº  1032/2015 Qtde. DT</t>
  </si>
  <si>
    <t xml:space="preserve"> AF/OS nº  2019/2015 Qtde. DT</t>
  </si>
  <si>
    <t xml:space="preserve"> AF/OS nº  2039/2015 Qtde. DT</t>
  </si>
  <si>
    <t xml:space="preserve"> AF/OS nº  2052/2015 Qtde. DT</t>
  </si>
  <si>
    <t xml:space="preserve"> AF/OS nº  2080/2015 Qtde. DT</t>
  </si>
  <si>
    <t xml:space="preserve"> AF/OS nº  1888/2015 Qtde. DT</t>
  </si>
  <si>
    <t xml:space="preserve"> AF/OS nº  0844/2015 Qtde. DT</t>
  </si>
  <si>
    <t xml:space="preserve"> AF/OS nº  1256/2015 Qtde. DT</t>
  </si>
  <si>
    <t xml:space="preserve"> AF/OS nº  1605/2015 Qtde. DT</t>
  </si>
  <si>
    <t xml:space="preserve"> AF/OS nº  1090/2015 Qtde. DT</t>
  </si>
  <si>
    <t xml:space="preserve"> AF/OS nº  1149/2015 Qtde. DT</t>
  </si>
  <si>
    <t xml:space="preserve"> AF/OS nº  1649/2015 Qtde. DT</t>
  </si>
  <si>
    <t xml:space="preserve"> AF/OS nº  840/2015 Qtde. DT</t>
  </si>
  <si>
    <t>OS nº  1019/2015 Qtde. DT</t>
  </si>
  <si>
    <t>OS nº 1053/2015 Qtde. DT</t>
  </si>
  <si>
    <t>OS nº  893/2015 Qtde. DT</t>
  </si>
  <si>
    <t>OS nº  1053/2015 Qtde. DT</t>
  </si>
  <si>
    <t>OS nº  1323/2015 Qtde. DT</t>
  </si>
  <si>
    <t>OS nº  1766/2015 Qtde. DT</t>
  </si>
  <si>
    <t xml:space="preserve"> AF/OS nº  1277/2015 Qtde. DT</t>
  </si>
  <si>
    <t xml:space="preserve"> AF/OS nº  1836/2015 Qtde. DT</t>
  </si>
  <si>
    <t xml:space="preserve"> AF/OS nº  2236/2015 Qtde. DT</t>
  </si>
  <si>
    <t>04/11/205</t>
  </si>
  <si>
    <t>Lote 1</t>
  </si>
  <si>
    <t>QUANTITATIVO CEDIDO PARA O CEO:
15 diárias cedidas pela Reitoria/CAD conforme e-mail em 14/10/2015.
05 diárias cedidas pelo CEPLAN conforme e-mail em 20/10/2015</t>
  </si>
  <si>
    <t>QUANTITATIVO CEDIDO PARA O CEO:
30 diárias cedidas pela Reitoria/CAD conforme e-mail em 04/11/2015.</t>
  </si>
  <si>
    <t>1º TERMO ADITIVO DE  SUPRESSÃO -  ORDEM DE SERVIÇO 2080/2015- RETORNO PARA  SALDO DA ATA DO QUANTITATIVO DE  6 DIÁRIAS REFERENTE LOTE 1 - ITEM 03 -  TERMO ADITIVO ASSINADO EM 18/12/2015- PUBLICADO DOE  E SICON EM 03/02/2016</t>
  </si>
  <si>
    <t xml:space="preserve"> AF/OS nº  930/2015 Qtde. DT</t>
  </si>
  <si>
    <t xml:space="preserve"> AF/OS nº  1059/2015 Qtde. DT</t>
  </si>
  <si>
    <t xml:space="preserve"> AF/OS nº  1527/2015 Qtde. DT</t>
  </si>
  <si>
    <t xml:space="preserve"> AF/OS nº  1982/2015 Qtde. DT</t>
  </si>
  <si>
    <t xml:space="preserve"> AF/OS nº  938/2015 Qtde. DT - PAEX E PRAPEG</t>
  </si>
  <si>
    <t xml:space="preserve"> AF/OS nº  1060/2015 Qtde. DT - PET</t>
  </si>
  <si>
    <t xml:space="preserve"> AF/OS nº  1761/2015 Qtde. DT - PRAPEG</t>
  </si>
  <si>
    <t xml:space="preserve"> AF/OS nº  1919/2015 Qtde. DT - PET</t>
  </si>
  <si>
    <t xml:space="preserve"> AF/OS nº  74/2016 Qtde. DT - FAED</t>
  </si>
  <si>
    <t>OS nº  2166/2015 Qtde. DT</t>
  </si>
  <si>
    <t xml:space="preserve"> OS nº  0022/2016 Qtde. DT</t>
  </si>
  <si>
    <t>OS nº  0022/2016 Qtde. DT</t>
  </si>
  <si>
    <t xml:space="preserve"> AF/OS nº  0044/2016 </t>
  </si>
  <si>
    <t xml:space="preserve"> AF/OS nº  0419/2016</t>
  </si>
  <si>
    <t xml:space="preserve"> AF/OS nº  378/2016 Qtde. DT - PRAPEG</t>
  </si>
  <si>
    <t xml:space="preserve"> AF/OS nº  460/2016 Qtde. DT - PET-GEO</t>
  </si>
  <si>
    <t xml:space="preserve"> AF/OS nº  2143/2015 Qtde. DT</t>
  </si>
  <si>
    <t xml:space="preserve"> AF/OS nº  2212/2015 Qtde. DT</t>
  </si>
  <si>
    <t xml:space="preserve"> AF/OS nº  153/2016 Qtde. DT</t>
  </si>
  <si>
    <t xml:space="preserve"> AF/OS nº  109/2016 Qtde. DT</t>
  </si>
  <si>
    <t xml:space="preserve"> AF/OS nº  2216/2015 Qtde. DT</t>
  </si>
  <si>
    <t xml:space="preserve"> AF/OS nº  120/2016 Qtde. DT</t>
  </si>
  <si>
    <t>Valor Total da Ata com Aditivo</t>
  </si>
  <si>
    <t>Valor Utilizado</t>
  </si>
  <si>
    <t>% Aditivos</t>
  </si>
  <si>
    <t>% Utilizado</t>
  </si>
  <si>
    <t>Pregão 0097/2015/UDESC - SRP</t>
  </si>
  <si>
    <t xml:space="preserve">CONTRATAÇÃO DE AGÊNCIA DE TURISMO PARA PRESTAÇÃO DE SERVIÇOS RELATIVOS À COTAÇÃO, RESERVA E EMISSÃO DE HOSPEDAGENS EM HOTÉIS E DEMAIS SERVIÇOS NECESSÁRIOS E CORRELATOS À UDESC. </t>
  </si>
  <si>
    <t>Vigência da Ata: 11/05/2015 até 10/05/2016</t>
  </si>
  <si>
    <t>Resumo Atualizado em Junho/2016</t>
  </si>
  <si>
    <t xml:space="preserve"> AF/OS nº  159/2016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</si>
</sst>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0.0%"/>
    <numFmt numFmtId="169" formatCode="&quot;R$&quot;\ #,##0.00"/>
    <numFmt numFmtId="170" formatCode="#,##0.00_ ;\-#,##0.00\ 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b/>
      <u/>
      <sz val="9"/>
      <color indexed="81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</xf>
    <xf numFmtId="168" fontId="1" fillId="5" borderId="1" xfId="12" applyNumberFormat="1" applyFont="1" applyFill="1" applyBorder="1" applyAlignment="1" applyProtection="1">
      <alignment horizontal="center" vertical="center"/>
      <protection locked="0"/>
    </xf>
    <xf numFmtId="4" fontId="4" fillId="0" borderId="0" xfId="1" applyNumberFormat="1" applyFont="1" applyAlignment="1" applyProtection="1">
      <alignment wrapText="1"/>
      <protection locked="0"/>
    </xf>
    <xf numFmtId="3" fontId="17" fillId="0" borderId="1" xfId="1" applyNumberFormat="1" applyFont="1" applyFill="1" applyBorder="1" applyAlignment="1" applyProtection="1">
      <alignment horizontal="center" vertical="center" wrapText="1"/>
      <protection locked="0"/>
    </xf>
    <xf numFmtId="169" fontId="4" fillId="0" borderId="0" xfId="1" applyNumberFormat="1" applyFont="1" applyAlignment="1" applyProtection="1">
      <alignment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21" fillId="10" borderId="14" xfId="1" applyFont="1" applyFill="1" applyBorder="1" applyAlignment="1" applyProtection="1">
      <alignment horizontal="left"/>
      <protection locked="0"/>
    </xf>
    <xf numFmtId="0" fontId="21" fillId="10" borderId="15" xfId="1" applyFont="1" applyFill="1" applyBorder="1" applyAlignment="1" applyProtection="1">
      <alignment horizontal="left"/>
      <protection locked="0"/>
    </xf>
    <xf numFmtId="0" fontId="21" fillId="10" borderId="16" xfId="1" applyFont="1" applyFill="1" applyBorder="1" applyAlignment="1" applyProtection="1">
      <alignment horizontal="left"/>
      <protection locked="0"/>
    </xf>
    <xf numFmtId="0" fontId="21" fillId="10" borderId="0" xfId="1" applyFont="1" applyFill="1" applyBorder="1" applyAlignment="1" applyProtection="1">
      <alignment horizontal="left"/>
      <protection locked="0"/>
    </xf>
    <xf numFmtId="2" fontId="21" fillId="10" borderId="7" xfId="1" applyNumberFormat="1" applyFont="1" applyFill="1" applyBorder="1" applyAlignment="1">
      <alignment horizontal="right"/>
    </xf>
    <xf numFmtId="0" fontId="21" fillId="10" borderId="11" xfId="1" applyFont="1" applyFill="1" applyBorder="1" applyAlignment="1" applyProtection="1">
      <alignment horizontal="left"/>
      <protection locked="0"/>
    </xf>
    <xf numFmtId="0" fontId="21" fillId="10" borderId="12" xfId="1" applyFont="1" applyFill="1" applyBorder="1" applyAlignment="1" applyProtection="1">
      <alignment horizontal="left"/>
      <protection locked="0"/>
    </xf>
    <xf numFmtId="9" fontId="21" fillId="10" borderId="8" xfId="12" applyFont="1" applyFill="1" applyBorder="1" applyAlignment="1" applyProtection="1">
      <alignment horizontal="right"/>
      <protection locked="0"/>
    </xf>
    <xf numFmtId="1" fontId="4" fillId="0" borderId="1" xfId="1" applyNumberFormat="1" applyFont="1" applyFill="1" applyBorder="1" applyAlignment="1" applyProtection="1">
      <alignment horizontal="center" wrapText="1"/>
      <protection locked="0"/>
    </xf>
    <xf numFmtId="170" fontId="21" fillId="10" borderId="6" xfId="1" applyNumberFormat="1" applyFont="1" applyFill="1" applyBorder="1" applyAlignment="1" applyProtection="1">
      <alignment horizontal="right"/>
      <protection locked="0"/>
    </xf>
    <xf numFmtId="170" fontId="21" fillId="10" borderId="7" xfId="1" applyNumberFormat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</xf>
    <xf numFmtId="168" fontId="1" fillId="5" borderId="1" xfId="0" applyNumberFormat="1" applyFont="1" applyFill="1" applyBorder="1" applyAlignment="1" applyProtection="1">
      <alignment horizontal="center" vertical="center"/>
      <protection locked="0"/>
    </xf>
    <xf numFmtId="1" fontId="1" fillId="5" borderId="1" xfId="0" applyNumberFormat="1" applyFont="1" applyFill="1" applyBorder="1" applyAlignment="1" applyProtection="1">
      <alignment horizontal="center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9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4" fontId="4" fillId="0" borderId="0" xfId="1" applyNumberFormat="1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" fontId="1" fillId="5" borderId="1" xfId="0" applyNumberFormat="1" applyFont="1" applyFill="1" applyBorder="1" applyAlignment="1" applyProtection="1">
      <alignment horizontal="center" vertical="distributed" shrinkToFit="1"/>
      <protection locked="0"/>
    </xf>
    <xf numFmtId="1" fontId="1" fillId="5" borderId="1" xfId="0" applyNumberFormat="1" applyFont="1" applyFill="1" applyBorder="1" applyAlignment="1" applyProtection="1">
      <alignment horizontal="center" vertical="distributed"/>
      <protection locked="0"/>
    </xf>
    <xf numFmtId="0" fontId="1" fillId="0" borderId="1" xfId="0" applyFont="1" applyBorder="1"/>
    <xf numFmtId="1" fontId="1" fillId="9" borderId="1" xfId="0" applyNumberFormat="1" applyFont="1" applyFill="1" applyBorder="1" applyAlignment="1" applyProtection="1">
      <alignment horizontal="center" vertical="center"/>
      <protection locked="0"/>
    </xf>
    <xf numFmtId="0" fontId="4" fillId="9" borderId="0" xfId="1" applyFont="1" applyFill="1" applyAlignment="1">
      <alignment horizontal="center" vertical="center" wrapText="1"/>
    </xf>
    <xf numFmtId="0" fontId="4" fillId="9" borderId="0" xfId="1" applyNumberFormat="1" applyFont="1" applyFill="1" applyAlignment="1">
      <alignment horizontal="center" vertical="center" wrapText="1"/>
    </xf>
    <xf numFmtId="166" fontId="4" fillId="5" borderId="1" xfId="0" applyNumberFormat="1" applyFont="1" applyFill="1" applyBorder="1" applyAlignment="1">
      <alignment horizontal="center" vertical="center" wrapText="1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0" borderId="1" xfId="0" applyNumberFormat="1" applyFont="1" applyFill="1" applyBorder="1" applyAlignment="1">
      <alignment horizontal="center" vertical="center" wrapText="1"/>
    </xf>
    <xf numFmtId="3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5" borderId="6" xfId="0" applyFont="1" applyFill="1" applyBorder="1" applyAlignment="1">
      <alignment horizontal="center" vertical="center" textRotation="1"/>
    </xf>
    <xf numFmtId="0" fontId="14" fillId="5" borderId="7" xfId="0" applyFont="1" applyFill="1" applyBorder="1" applyAlignment="1">
      <alignment horizontal="center" vertical="center" textRotation="1"/>
    </xf>
    <xf numFmtId="0" fontId="14" fillId="5" borderId="8" xfId="0" applyFont="1" applyFill="1" applyBorder="1" applyAlignment="1">
      <alignment horizontal="center" vertical="center" textRotation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4" fillId="9" borderId="0" xfId="1" applyFont="1" applyFill="1" applyAlignment="1">
      <alignment horizontal="center" vertical="center" wrapText="1"/>
    </xf>
    <xf numFmtId="0" fontId="21" fillId="10" borderId="1" xfId="1" applyFont="1" applyFill="1" applyBorder="1" applyAlignment="1">
      <alignment vertical="center" wrapText="1"/>
    </xf>
    <xf numFmtId="0" fontId="21" fillId="10" borderId="11" xfId="1" applyFont="1" applyFill="1" applyBorder="1" applyAlignment="1">
      <alignment vertical="center" wrapText="1"/>
    </xf>
    <xf numFmtId="0" fontId="21" fillId="10" borderId="12" xfId="1" applyFont="1" applyFill="1" applyBorder="1" applyAlignment="1">
      <alignment vertical="center" wrapText="1"/>
    </xf>
    <xf numFmtId="0" fontId="21" fillId="10" borderId="13" xfId="1" applyFont="1" applyFill="1" applyBorder="1" applyAlignment="1">
      <alignment vertical="center" wrapText="1"/>
    </xf>
    <xf numFmtId="0" fontId="21" fillId="10" borderId="9" xfId="1" applyFont="1" applyFill="1" applyBorder="1" applyAlignment="1" applyProtection="1">
      <alignment horizontal="left"/>
      <protection locked="0"/>
    </xf>
    <xf numFmtId="0" fontId="21" fillId="10" borderId="17" xfId="1" applyFont="1" applyFill="1" applyBorder="1" applyAlignment="1" applyProtection="1">
      <alignment horizontal="left"/>
      <protection locked="0"/>
    </xf>
    <xf numFmtId="0" fontId="21" fillId="10" borderId="10" xfId="1" applyFont="1" applyFill="1" applyBorder="1" applyAlignment="1" applyProtection="1">
      <alignment horizontal="left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4" fillId="2" borderId="10" xfId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3">
    <cellStyle name="Moeda 2" xfId="5"/>
    <cellStyle name="Moeda 2 2" xfId="9"/>
    <cellStyle name="Moeda 3" xfId="8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3" xfId="6"/>
    <cellStyle name="Separador de milhares 2 3 2" xfId="10"/>
    <cellStyle name="Separador de milhares 3" xfId="3"/>
    <cellStyle name="Título 5" xfId="4"/>
  </cellStyles>
  <dxfs count="201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N11"/>
  <sheetViews>
    <sheetView zoomScale="84" zoomScaleNormal="84" workbookViewId="0">
      <selection activeCell="A4" sqref="A4:A9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0" width="12" style="18" customWidth="1"/>
    <col min="11" max="11" width="13" style="18" customWidth="1"/>
    <col min="12" max="14" width="12" style="18" customWidth="1"/>
    <col min="15" max="16384" width="9.7109375" style="15"/>
  </cols>
  <sheetData>
    <row r="1" spans="1:14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94</v>
      </c>
      <c r="J1" s="66" t="s">
        <v>95</v>
      </c>
      <c r="K1" s="66" t="s">
        <v>96</v>
      </c>
      <c r="L1" s="66" t="s">
        <v>97</v>
      </c>
      <c r="M1" s="66" t="s">
        <v>115</v>
      </c>
      <c r="N1" s="66" t="s">
        <v>116</v>
      </c>
    </row>
    <row r="2" spans="1:14" ht="21.75" customHeight="1" x14ac:dyDescent="0.25">
      <c r="A2" s="73" t="s">
        <v>51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  <c r="M2" s="66"/>
      <c r="N2" s="66"/>
    </row>
    <row r="3" spans="1:14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42157</v>
      </c>
      <c r="J3" s="27">
        <v>42180</v>
      </c>
      <c r="K3" s="27">
        <v>42215</v>
      </c>
      <c r="L3" s="27">
        <v>42276</v>
      </c>
      <c r="M3" s="27">
        <v>42320</v>
      </c>
      <c r="N3" s="27">
        <v>42389</v>
      </c>
    </row>
    <row r="4" spans="1:14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57">
        <v>15</v>
      </c>
      <c r="G4" s="50">
        <f t="shared" ref="G4:G9" si="0">F4-(SUM(I4:N4))</f>
        <v>15</v>
      </c>
      <c r="H4" s="51" t="str">
        <f>IF(G4&lt;0,"ATENÇÃO","OK")</f>
        <v>OK</v>
      </c>
      <c r="I4" s="19"/>
      <c r="J4" s="19">
        <v>0</v>
      </c>
      <c r="K4" s="19">
        <v>0</v>
      </c>
      <c r="L4" s="19">
        <v>0</v>
      </c>
      <c r="M4" s="19">
        <v>0</v>
      </c>
      <c r="N4" s="19">
        <v>0</v>
      </c>
    </row>
    <row r="5" spans="1:14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57">
        <f>35</f>
        <v>35</v>
      </c>
      <c r="G5" s="50">
        <f t="shared" si="0"/>
        <v>0</v>
      </c>
      <c r="H5" s="51" t="str">
        <f t="shared" ref="H5:H9" si="1">IF(G5&lt;0,"ATENÇÃO","OK")</f>
        <v>OK</v>
      </c>
      <c r="I5" s="19">
        <v>35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</row>
    <row r="6" spans="1:14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57">
        <f>90-15-26+269-15-30</f>
        <v>273</v>
      </c>
      <c r="G6" s="50">
        <f t="shared" si="0"/>
        <v>193</v>
      </c>
      <c r="H6" s="51" t="str">
        <f t="shared" si="1"/>
        <v>OK</v>
      </c>
      <c r="I6" s="19">
        <v>50</v>
      </c>
      <c r="J6" s="19">
        <v>0</v>
      </c>
      <c r="K6" s="19">
        <v>0</v>
      </c>
      <c r="L6" s="19">
        <v>0</v>
      </c>
      <c r="M6" s="19">
        <v>0</v>
      </c>
      <c r="N6" s="19">
        <v>30</v>
      </c>
    </row>
    <row r="7" spans="1:14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57">
        <f>30-19</f>
        <v>11</v>
      </c>
      <c r="G7" s="50">
        <f t="shared" si="0"/>
        <v>1</v>
      </c>
      <c r="H7" s="51" t="str">
        <f t="shared" si="1"/>
        <v>OK</v>
      </c>
      <c r="I7" s="19">
        <v>10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</row>
    <row r="8" spans="1:14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7">
        <v>50</v>
      </c>
      <c r="G8" s="50">
        <f t="shared" si="0"/>
        <v>10</v>
      </c>
      <c r="H8" s="51" t="str">
        <f t="shared" si="1"/>
        <v>OK</v>
      </c>
      <c r="I8" s="19">
        <v>20</v>
      </c>
      <c r="J8" s="19">
        <v>0</v>
      </c>
      <c r="K8" s="19">
        <v>0</v>
      </c>
      <c r="L8" s="19">
        <v>0</v>
      </c>
      <c r="M8" s="19">
        <v>0</v>
      </c>
      <c r="N8" s="19">
        <v>20</v>
      </c>
    </row>
    <row r="9" spans="1:14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57">
        <f>150+357+20+20+24</f>
        <v>571</v>
      </c>
      <c r="G9" s="50">
        <f t="shared" si="0"/>
        <v>0</v>
      </c>
      <c r="H9" s="51" t="str">
        <f t="shared" si="1"/>
        <v>OK</v>
      </c>
      <c r="I9" s="19">
        <v>60</v>
      </c>
      <c r="J9" s="19">
        <v>90</v>
      </c>
      <c r="K9" s="19">
        <v>320</v>
      </c>
      <c r="L9" s="19">
        <v>37</v>
      </c>
      <c r="M9" s="19">
        <v>64</v>
      </c>
      <c r="N9" s="19">
        <v>0</v>
      </c>
    </row>
    <row r="11" spans="1:14" x14ac:dyDescent="0.25">
      <c r="K11" s="26"/>
    </row>
  </sheetData>
  <mergeCells count="12">
    <mergeCell ref="B4:B9"/>
    <mergeCell ref="A4:A9"/>
    <mergeCell ref="A2:H2"/>
    <mergeCell ref="I1:I2"/>
    <mergeCell ref="A1:C1"/>
    <mergeCell ref="F1:H1"/>
    <mergeCell ref="D1:E1"/>
    <mergeCell ref="J1:J2"/>
    <mergeCell ref="K1:K2"/>
    <mergeCell ref="L1:L2"/>
    <mergeCell ref="M1:M2"/>
    <mergeCell ref="N1:N2"/>
  </mergeCells>
  <phoneticPr fontId="0" type="noConversion"/>
  <conditionalFormatting sqref="I4:I9">
    <cfRule type="cellIs" dxfId="200" priority="7" stopIfTrue="1" operator="greaterThan">
      <formula>0</formula>
    </cfRule>
    <cfRule type="cellIs" dxfId="199" priority="8" stopIfTrue="1" operator="greaterThan">
      <formula>0</formula>
    </cfRule>
    <cfRule type="cellIs" dxfId="198" priority="9" stopIfTrue="1" operator="greaterThan">
      <formula>0</formula>
    </cfRule>
  </conditionalFormatting>
  <conditionalFormatting sqref="J4:N4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conditionalFormatting sqref="J5:N9">
    <cfRule type="cellIs" dxfId="194" priority="1" stopIfTrue="1" operator="greaterThan">
      <formula>0</formula>
    </cfRule>
    <cfRule type="cellIs" dxfId="193" priority="2" stopIfTrue="1" operator="greaterThan">
      <formula>0</formula>
    </cfRule>
    <cfRule type="cellIs" dxfId="19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zoomScale="84" zoomScaleNormal="84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0" width="12" style="18" customWidth="1"/>
    <col min="11" max="16384" width="9.7109375" style="15"/>
  </cols>
  <sheetData>
    <row r="1" spans="1:10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93</v>
      </c>
      <c r="J1" s="66" t="s">
        <v>117</v>
      </c>
    </row>
    <row r="2" spans="1:10" ht="21.75" customHeight="1" x14ac:dyDescent="0.25">
      <c r="A2" s="73" t="s">
        <v>52</v>
      </c>
      <c r="B2" s="73"/>
      <c r="C2" s="73"/>
      <c r="D2" s="73"/>
      <c r="E2" s="73"/>
      <c r="F2" s="73"/>
      <c r="G2" s="73"/>
      <c r="H2" s="73"/>
      <c r="I2" s="66"/>
      <c r="J2" s="66"/>
    </row>
    <row r="3" spans="1:10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42180</v>
      </c>
      <c r="J3" s="27">
        <v>42389</v>
      </c>
    </row>
    <row r="4" spans="1:10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58"/>
      <c r="G4" s="50">
        <f t="shared" ref="G4:G9" si="0">F4-(SUM(I4:J4))</f>
        <v>0</v>
      </c>
      <c r="H4" s="51" t="str">
        <f>IF(G4&lt;0,"ATENÇÃO","OK")</f>
        <v>OK</v>
      </c>
      <c r="I4" s="19"/>
      <c r="J4" s="19">
        <v>0</v>
      </c>
    </row>
    <row r="5" spans="1:10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58">
        <v>6</v>
      </c>
      <c r="G5" s="50">
        <f t="shared" si="0"/>
        <v>1</v>
      </c>
      <c r="H5" s="51" t="str">
        <f t="shared" ref="H5:H9" si="1">IF(G5&lt;0,"ATENÇÃO","OK")</f>
        <v>OK</v>
      </c>
      <c r="I5" s="19">
        <v>0</v>
      </c>
      <c r="J5" s="19">
        <v>5</v>
      </c>
    </row>
    <row r="6" spans="1:10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58">
        <f>65-50</f>
        <v>15</v>
      </c>
      <c r="G6" s="50">
        <f t="shared" si="0"/>
        <v>15</v>
      </c>
      <c r="H6" s="51" t="str">
        <f t="shared" si="1"/>
        <v>OK</v>
      </c>
      <c r="I6" s="19">
        <v>0</v>
      </c>
      <c r="J6" s="19">
        <v>0</v>
      </c>
    </row>
    <row r="7" spans="1:10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58"/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</row>
    <row r="8" spans="1:10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8">
        <v>12</v>
      </c>
      <c r="G8" s="50">
        <f t="shared" si="0"/>
        <v>12</v>
      </c>
      <c r="H8" s="51" t="str">
        <f t="shared" si="1"/>
        <v>OK</v>
      </c>
      <c r="I8" s="19">
        <v>0</v>
      </c>
      <c r="J8" s="19"/>
    </row>
    <row r="9" spans="1:10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58">
        <f>65-55</f>
        <v>10</v>
      </c>
      <c r="G9" s="50">
        <f t="shared" si="0"/>
        <v>0</v>
      </c>
      <c r="H9" s="51" t="str">
        <f t="shared" si="1"/>
        <v>OK</v>
      </c>
      <c r="I9" s="19">
        <v>10</v>
      </c>
      <c r="J9" s="19">
        <v>0</v>
      </c>
    </row>
  </sheetData>
  <mergeCells count="8">
    <mergeCell ref="I1:I2"/>
    <mergeCell ref="J1:J2"/>
    <mergeCell ref="A2:H2"/>
    <mergeCell ref="A4:A9"/>
    <mergeCell ref="B4:B9"/>
    <mergeCell ref="A1:C1"/>
    <mergeCell ref="D1:E1"/>
    <mergeCell ref="F1:H1"/>
  </mergeCells>
  <conditionalFormatting sqref="I4">
    <cfRule type="cellIs" dxfId="191" priority="10" stopIfTrue="1" operator="greaterThan">
      <formula>0</formula>
    </cfRule>
    <cfRule type="cellIs" dxfId="190" priority="11" stopIfTrue="1" operator="greaterThan">
      <formula>0</formula>
    </cfRule>
    <cfRule type="cellIs" dxfId="189" priority="12" stopIfTrue="1" operator="greaterThan">
      <formula>0</formula>
    </cfRule>
  </conditionalFormatting>
  <conditionalFormatting sqref="I5:I9">
    <cfRule type="cellIs" dxfId="188" priority="7" stopIfTrue="1" operator="greaterThan">
      <formula>0</formula>
    </cfRule>
    <cfRule type="cellIs" dxfId="187" priority="8" stopIfTrue="1" operator="greaterThan">
      <formula>0</formula>
    </cfRule>
    <cfRule type="cellIs" dxfId="186" priority="9" stopIfTrue="1" operator="greaterThan">
      <formula>0</formula>
    </cfRule>
  </conditionalFormatting>
  <conditionalFormatting sqref="J4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conditionalFormatting sqref="J5:J9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zoomScale="84" zoomScaleNormal="84" workbookViewId="0">
      <selection activeCell="F7" sqref="F7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1" width="12" style="18" customWidth="1"/>
    <col min="12" max="16384" width="9.7109375" style="15"/>
  </cols>
  <sheetData>
    <row r="1" spans="1:11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92</v>
      </c>
      <c r="J1" s="66" t="s">
        <v>93</v>
      </c>
      <c r="K1" s="66" t="s">
        <v>116</v>
      </c>
    </row>
    <row r="2" spans="1:11" ht="21.75" customHeight="1" x14ac:dyDescent="0.25">
      <c r="A2" s="73" t="s">
        <v>53</v>
      </c>
      <c r="B2" s="73"/>
      <c r="C2" s="73"/>
      <c r="D2" s="73"/>
      <c r="E2" s="73"/>
      <c r="F2" s="73"/>
      <c r="G2" s="73"/>
      <c r="H2" s="73"/>
      <c r="I2" s="66"/>
      <c r="J2" s="66"/>
      <c r="K2" s="66"/>
    </row>
    <row r="3" spans="1:11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42174</v>
      </c>
      <c r="J3" s="27">
        <v>42180</v>
      </c>
      <c r="K3" s="27">
        <v>42389</v>
      </c>
    </row>
    <row r="4" spans="1:11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58"/>
      <c r="G4" s="50">
        <f t="shared" ref="G4:G9" si="0">F4-(SUM(I4:K4))</f>
        <v>0</v>
      </c>
      <c r="H4" s="51" t="str">
        <f>IF(G4&lt;0,"ATENÇÃO","OK")</f>
        <v>OK</v>
      </c>
      <c r="I4" s="19"/>
      <c r="J4" s="19">
        <v>0</v>
      </c>
      <c r="K4" s="19">
        <v>0</v>
      </c>
    </row>
    <row r="5" spans="1:11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58">
        <f>150-20-8</f>
        <v>122</v>
      </c>
      <c r="G5" s="50">
        <f t="shared" si="0"/>
        <v>122</v>
      </c>
      <c r="H5" s="51" t="str">
        <f t="shared" ref="H5:H9" si="1">IF(G5&lt;0,"ATENÇÃO","OK")</f>
        <v>OK</v>
      </c>
      <c r="I5" s="19">
        <v>0</v>
      </c>
      <c r="J5" s="19">
        <v>0</v>
      </c>
      <c r="K5" s="19">
        <v>0</v>
      </c>
    </row>
    <row r="6" spans="1:11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58">
        <v>225</v>
      </c>
      <c r="G6" s="50">
        <f t="shared" si="0"/>
        <v>105</v>
      </c>
      <c r="H6" s="51" t="str">
        <f t="shared" si="1"/>
        <v>OK</v>
      </c>
      <c r="I6" s="19">
        <v>0</v>
      </c>
      <c r="J6" s="19">
        <v>120</v>
      </c>
      <c r="K6" s="19">
        <v>0</v>
      </c>
    </row>
    <row r="7" spans="1:11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58">
        <f>50-5-11</f>
        <v>34</v>
      </c>
      <c r="G7" s="50">
        <f t="shared" si="0"/>
        <v>14</v>
      </c>
      <c r="H7" s="51" t="str">
        <f t="shared" si="1"/>
        <v>OK</v>
      </c>
      <c r="I7" s="19">
        <v>0</v>
      </c>
      <c r="J7" s="19">
        <v>0</v>
      </c>
      <c r="K7" s="19">
        <v>20</v>
      </c>
    </row>
    <row r="8" spans="1:11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8">
        <v>125</v>
      </c>
      <c r="G8" s="50">
        <f t="shared" si="0"/>
        <v>125</v>
      </c>
      <c r="H8" s="51" t="str">
        <f t="shared" si="1"/>
        <v>OK</v>
      </c>
      <c r="I8" s="19">
        <v>0</v>
      </c>
      <c r="J8" s="19">
        <v>0</v>
      </c>
      <c r="K8" s="19">
        <v>0</v>
      </c>
    </row>
    <row r="9" spans="1:11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58">
        <v>300</v>
      </c>
      <c r="G9" s="50">
        <f t="shared" si="0"/>
        <v>0</v>
      </c>
      <c r="H9" s="51" t="str">
        <f t="shared" si="1"/>
        <v>OK</v>
      </c>
      <c r="I9" s="19">
        <v>155</v>
      </c>
      <c r="J9" s="19">
        <v>145</v>
      </c>
      <c r="K9" s="19">
        <v>0</v>
      </c>
    </row>
  </sheetData>
  <mergeCells count="9">
    <mergeCell ref="I1:I2"/>
    <mergeCell ref="J1:J2"/>
    <mergeCell ref="K1:K2"/>
    <mergeCell ref="A2:H2"/>
    <mergeCell ref="A4:A9"/>
    <mergeCell ref="B4:B9"/>
    <mergeCell ref="A1:C1"/>
    <mergeCell ref="D1:E1"/>
    <mergeCell ref="F1:H1"/>
  </mergeCells>
  <conditionalFormatting sqref="I4">
    <cfRule type="cellIs" dxfId="179" priority="10" stopIfTrue="1" operator="greaterThan">
      <formula>0</formula>
    </cfRule>
    <cfRule type="cellIs" dxfId="178" priority="11" stopIfTrue="1" operator="greaterThan">
      <formula>0</formula>
    </cfRule>
    <cfRule type="cellIs" dxfId="177" priority="12" stopIfTrue="1" operator="greaterThan">
      <formula>0</formula>
    </cfRule>
  </conditionalFormatting>
  <conditionalFormatting sqref="I5:I9">
    <cfRule type="cellIs" dxfId="176" priority="7" stopIfTrue="1" operator="greaterThan">
      <formula>0</formula>
    </cfRule>
    <cfRule type="cellIs" dxfId="175" priority="8" stopIfTrue="1" operator="greaterThan">
      <formula>0</formula>
    </cfRule>
    <cfRule type="cellIs" dxfId="174" priority="9" stopIfTrue="1" operator="greaterThan">
      <formula>0</formula>
    </cfRule>
  </conditionalFormatting>
  <conditionalFormatting sqref="J4:K4">
    <cfRule type="cellIs" dxfId="173" priority="4" stopIfTrue="1" operator="greaterThan">
      <formula>0</formula>
    </cfRule>
    <cfRule type="cellIs" dxfId="172" priority="5" stopIfTrue="1" operator="greaterThan">
      <formula>0</formula>
    </cfRule>
    <cfRule type="cellIs" dxfId="171" priority="6" stopIfTrue="1" operator="greaterThan">
      <formula>0</formula>
    </cfRule>
  </conditionalFormatting>
  <conditionalFormatting sqref="J5:K9">
    <cfRule type="cellIs" dxfId="170" priority="1" stopIfTrue="1" operator="greaterThan">
      <formula>0</formula>
    </cfRule>
    <cfRule type="cellIs" dxfId="169" priority="2" stopIfTrue="1" operator="greaterThan">
      <formula>0</formula>
    </cfRule>
    <cfRule type="cellIs" dxfId="16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84" zoomScaleNormal="84" workbookViewId="0">
      <selection activeCell="D1" sqref="D1:E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0" width="12" style="18" customWidth="1"/>
    <col min="11" max="16384" width="9.7109375" style="15"/>
  </cols>
  <sheetData>
    <row r="1" spans="1:10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36</v>
      </c>
      <c r="J1" s="66" t="s">
        <v>36</v>
      </c>
    </row>
    <row r="2" spans="1:10" ht="21.75" customHeight="1" x14ac:dyDescent="0.25">
      <c r="A2" s="73" t="s">
        <v>54</v>
      </c>
      <c r="B2" s="73"/>
      <c r="C2" s="73"/>
      <c r="D2" s="73"/>
      <c r="E2" s="73"/>
      <c r="F2" s="73"/>
      <c r="G2" s="73"/>
      <c r="H2" s="73"/>
      <c r="I2" s="66"/>
      <c r="J2" s="66"/>
    </row>
    <row r="3" spans="1:10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46" t="s">
        <v>2</v>
      </c>
      <c r="J3" s="46" t="s">
        <v>2</v>
      </c>
    </row>
    <row r="4" spans="1:10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58"/>
      <c r="G4" s="50">
        <f t="shared" ref="G4:G9" si="0">F4-(SUM(I4:J4))</f>
        <v>0</v>
      </c>
      <c r="H4" s="51" t="str">
        <f>IF(G4&lt;0,"ATENÇÃO","OK")</f>
        <v>OK</v>
      </c>
      <c r="I4" s="19"/>
      <c r="J4" s="19">
        <v>0</v>
      </c>
    </row>
    <row r="5" spans="1:10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58">
        <v>10</v>
      </c>
      <c r="G5" s="50">
        <f t="shared" si="0"/>
        <v>10</v>
      </c>
      <c r="H5" s="51" t="str">
        <f t="shared" ref="H5:H9" si="1">IF(G5&lt;0,"ATENÇÃO","OK")</f>
        <v>OK</v>
      </c>
      <c r="I5" s="19">
        <v>0</v>
      </c>
      <c r="J5" s="19">
        <v>0</v>
      </c>
    </row>
    <row r="6" spans="1:10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58"/>
      <c r="G6" s="50">
        <f t="shared" si="0"/>
        <v>0</v>
      </c>
      <c r="H6" s="51" t="str">
        <f t="shared" si="1"/>
        <v>OK</v>
      </c>
      <c r="I6" s="19">
        <v>0</v>
      </c>
      <c r="J6" s="19">
        <v>0</v>
      </c>
    </row>
    <row r="7" spans="1:10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58"/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</row>
    <row r="8" spans="1:10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8">
        <v>10</v>
      </c>
      <c r="G8" s="50">
        <f t="shared" si="0"/>
        <v>10</v>
      </c>
      <c r="H8" s="51" t="str">
        <f t="shared" si="1"/>
        <v>OK</v>
      </c>
      <c r="I8" s="19">
        <v>0</v>
      </c>
      <c r="J8" s="19">
        <v>0</v>
      </c>
    </row>
    <row r="9" spans="1:10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58"/>
      <c r="G9" s="50">
        <f t="shared" si="0"/>
        <v>0</v>
      </c>
      <c r="H9" s="51" t="str">
        <f t="shared" si="1"/>
        <v>OK</v>
      </c>
      <c r="I9" s="19">
        <v>0</v>
      </c>
      <c r="J9" s="19">
        <v>0</v>
      </c>
    </row>
  </sheetData>
  <mergeCells count="8">
    <mergeCell ref="I1:I2"/>
    <mergeCell ref="J1:J2"/>
    <mergeCell ref="A2:H2"/>
    <mergeCell ref="A4:A9"/>
    <mergeCell ref="B4:B9"/>
    <mergeCell ref="A1:C1"/>
    <mergeCell ref="D1:E1"/>
    <mergeCell ref="F1:H1"/>
  </mergeCells>
  <conditionalFormatting sqref="I4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I5:I9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J4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J5:J9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84" zoomScaleNormal="84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0" width="12" style="18" customWidth="1"/>
    <col min="11" max="16384" width="9.7109375" style="15"/>
  </cols>
  <sheetData>
    <row r="1" spans="1:10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98</v>
      </c>
      <c r="J1" s="66" t="s">
        <v>99</v>
      </c>
    </row>
    <row r="2" spans="1:10" ht="21.75" customHeight="1" x14ac:dyDescent="0.25">
      <c r="A2" s="73" t="s">
        <v>37</v>
      </c>
      <c r="B2" s="73"/>
      <c r="C2" s="73"/>
      <c r="D2" s="73"/>
      <c r="E2" s="73"/>
      <c r="F2" s="73"/>
      <c r="G2" s="73"/>
      <c r="H2" s="73"/>
      <c r="I2" s="66"/>
      <c r="J2" s="66"/>
    </row>
    <row r="3" spans="1:10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46" t="s">
        <v>2</v>
      </c>
      <c r="J3" s="46" t="s">
        <v>2</v>
      </c>
    </row>
    <row r="4" spans="1:10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>
        <v>5</v>
      </c>
      <c r="G4" s="50">
        <f t="shared" ref="G4:G9" si="0">F4-(SUM(I4:J4))</f>
        <v>5</v>
      </c>
      <c r="H4" s="51" t="str">
        <f>IF(G4&lt;0,"ATENÇÃO","OK")</f>
        <v>OK</v>
      </c>
      <c r="I4" s="19"/>
      <c r="J4" s="19"/>
    </row>
    <row r="5" spans="1:10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v>5</v>
      </c>
      <c r="G5" s="50">
        <f t="shared" si="0"/>
        <v>5</v>
      </c>
      <c r="H5" s="51" t="str">
        <f t="shared" ref="H5:H9" si="1">IF(G5&lt;0,"ATENÇÃO","OK")</f>
        <v>OK</v>
      </c>
      <c r="I5" s="19"/>
      <c r="J5" s="19"/>
    </row>
    <row r="6" spans="1:10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v>15</v>
      </c>
      <c r="G6" s="50">
        <f t="shared" si="0"/>
        <v>0</v>
      </c>
      <c r="H6" s="51" t="str">
        <f t="shared" si="1"/>
        <v>OK</v>
      </c>
      <c r="I6" s="19">
        <v>10</v>
      </c>
      <c r="J6" s="19">
        <v>5</v>
      </c>
    </row>
    <row r="7" spans="1:10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/>
      <c r="G7" s="50">
        <f t="shared" si="0"/>
        <v>0</v>
      </c>
      <c r="H7" s="51" t="str">
        <f t="shared" si="1"/>
        <v>OK</v>
      </c>
      <c r="I7" s="19"/>
      <c r="J7" s="19"/>
    </row>
    <row r="8" spans="1:10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10</v>
      </c>
      <c r="G8" s="50">
        <f t="shared" si="0"/>
        <v>10</v>
      </c>
      <c r="H8" s="51" t="str">
        <f t="shared" si="1"/>
        <v>OK</v>
      </c>
      <c r="I8" s="19"/>
      <c r="J8" s="19"/>
    </row>
    <row r="9" spans="1:10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v>15</v>
      </c>
      <c r="G9" s="50">
        <f t="shared" si="0"/>
        <v>0</v>
      </c>
      <c r="H9" s="51" t="str">
        <f t="shared" si="1"/>
        <v>OK</v>
      </c>
      <c r="I9" s="19">
        <v>10</v>
      </c>
      <c r="J9" s="19">
        <v>5</v>
      </c>
    </row>
  </sheetData>
  <mergeCells count="8">
    <mergeCell ref="I1:I2"/>
    <mergeCell ref="J1:J2"/>
    <mergeCell ref="A2:H2"/>
    <mergeCell ref="A4:A9"/>
    <mergeCell ref="B4:B9"/>
    <mergeCell ref="A1:C1"/>
    <mergeCell ref="D1:E1"/>
    <mergeCell ref="F1:H1"/>
  </mergeCells>
  <conditionalFormatting sqref="I4:J4">
    <cfRule type="cellIs" dxfId="155" priority="4" stopIfTrue="1" operator="greaterThan">
      <formula>0</formula>
    </cfRule>
    <cfRule type="cellIs" dxfId="154" priority="5" stopIfTrue="1" operator="greaterThan">
      <formula>0</formula>
    </cfRule>
    <cfRule type="cellIs" dxfId="153" priority="6" stopIfTrue="1" operator="greaterThan">
      <formula>0</formula>
    </cfRule>
  </conditionalFormatting>
  <conditionalFormatting sqref="I5:J9">
    <cfRule type="cellIs" dxfId="152" priority="1" stopIfTrue="1" operator="greaterThan">
      <formula>0</formula>
    </cfRule>
    <cfRule type="cellIs" dxfId="151" priority="2" stopIfTrue="1" operator="greaterThan">
      <formula>0</formula>
    </cfRule>
    <cfRule type="cellIs" dxfId="15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"/>
  <sheetViews>
    <sheetView zoomScale="84" zoomScaleNormal="84" workbookViewId="0">
      <selection activeCell="D5" sqref="D5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7" width="12" style="18" customWidth="1"/>
    <col min="18" max="18" width="14.28515625" style="15" customWidth="1"/>
    <col min="19" max="19" width="11" style="15" bestFit="1" customWidth="1"/>
    <col min="20" max="16384" width="9.7109375" style="15"/>
  </cols>
  <sheetData>
    <row r="1" spans="1:19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62</v>
      </c>
      <c r="J1" s="66" t="s">
        <v>63</v>
      </c>
      <c r="K1" s="66" t="s">
        <v>64</v>
      </c>
      <c r="L1" s="66" t="s">
        <v>65</v>
      </c>
      <c r="M1" s="66" t="s">
        <v>66</v>
      </c>
      <c r="N1" s="66" t="s">
        <v>67</v>
      </c>
      <c r="O1" s="66" t="s">
        <v>68</v>
      </c>
      <c r="P1" s="66" t="s">
        <v>69</v>
      </c>
      <c r="Q1" s="66" t="s">
        <v>70</v>
      </c>
      <c r="R1" s="66" t="s">
        <v>118</v>
      </c>
      <c r="S1" s="66" t="s">
        <v>119</v>
      </c>
    </row>
    <row r="2" spans="1:19" ht="21.75" customHeight="1" x14ac:dyDescent="0.25">
      <c r="A2" s="73" t="s">
        <v>28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42146</v>
      </c>
      <c r="J3" s="27">
        <v>42146</v>
      </c>
      <c r="K3" s="27">
        <v>42172</v>
      </c>
      <c r="L3" s="27">
        <v>42187</v>
      </c>
      <c r="M3" s="27">
        <v>42191</v>
      </c>
      <c r="N3" s="27">
        <v>42198</v>
      </c>
      <c r="O3" s="27">
        <v>42265</v>
      </c>
      <c r="P3" s="27">
        <v>42265</v>
      </c>
      <c r="Q3" s="27">
        <v>42277</v>
      </c>
      <c r="R3" s="27">
        <v>42416</v>
      </c>
      <c r="S3" s="27">
        <v>42485</v>
      </c>
    </row>
    <row r="4" spans="1:19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>
        <v>5</v>
      </c>
      <c r="G4" s="50">
        <f>F4-(SUM(I4:S4))</f>
        <v>5</v>
      </c>
      <c r="H4" s="51" t="str">
        <f>IF(G4&lt;0,"ATENÇÃO","OK")</f>
        <v>OK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28">
        <v>0</v>
      </c>
      <c r="S4" s="28">
        <v>0</v>
      </c>
    </row>
    <row r="5" spans="1:19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f>5+8</f>
        <v>13</v>
      </c>
      <c r="G5" s="50">
        <f t="shared" ref="G5:G9" si="0">F5-(SUM(I5:S5))</f>
        <v>0</v>
      </c>
      <c r="H5" s="51" t="str">
        <f t="shared" ref="H5:H9" si="1">IF(G5&lt;0,"ATENÇÃO","OK")</f>
        <v>OK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5</v>
      </c>
      <c r="P5" s="19">
        <v>8</v>
      </c>
      <c r="Q5" s="19">
        <v>0</v>
      </c>
      <c r="R5" s="28">
        <v>0</v>
      </c>
      <c r="S5" s="28">
        <v>0</v>
      </c>
    </row>
    <row r="6" spans="1:19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f>225-15</f>
        <v>210</v>
      </c>
      <c r="G6" s="50">
        <f t="shared" si="0"/>
        <v>0</v>
      </c>
      <c r="H6" s="51" t="str">
        <f t="shared" si="1"/>
        <v>OK</v>
      </c>
      <c r="I6" s="19">
        <v>25</v>
      </c>
      <c r="J6" s="19">
        <v>25</v>
      </c>
      <c r="K6" s="19">
        <v>5</v>
      </c>
      <c r="L6" s="19">
        <v>25</v>
      </c>
      <c r="M6" s="19">
        <v>20</v>
      </c>
      <c r="N6" s="19">
        <v>30</v>
      </c>
      <c r="O6" s="19">
        <v>0</v>
      </c>
      <c r="P6" s="19">
        <v>0</v>
      </c>
      <c r="Q6" s="19">
        <v>20</v>
      </c>
      <c r="R6" s="29">
        <v>18</v>
      </c>
      <c r="S6" s="29">
        <v>42</v>
      </c>
    </row>
    <row r="7" spans="1:19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/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28">
        <v>0</v>
      </c>
      <c r="S7" s="28">
        <v>0</v>
      </c>
    </row>
    <row r="8" spans="1:19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14</v>
      </c>
      <c r="G8" s="50">
        <f t="shared" si="0"/>
        <v>14</v>
      </c>
      <c r="H8" s="51" t="str">
        <f t="shared" si="1"/>
        <v>OK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28">
        <v>0</v>
      </c>
      <c r="S8" s="28">
        <v>0</v>
      </c>
    </row>
    <row r="9" spans="1:19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f>305-20-60+15+15</f>
        <v>255</v>
      </c>
      <c r="G9" s="50">
        <f t="shared" si="0"/>
        <v>0</v>
      </c>
      <c r="H9" s="51" t="str">
        <f t="shared" si="1"/>
        <v>OK</v>
      </c>
      <c r="I9" s="19">
        <v>25</v>
      </c>
      <c r="J9" s="19">
        <v>25</v>
      </c>
      <c r="K9" s="19">
        <v>10</v>
      </c>
      <c r="L9" s="19">
        <v>25</v>
      </c>
      <c r="M9" s="19">
        <v>20</v>
      </c>
      <c r="N9" s="19">
        <v>60</v>
      </c>
      <c r="O9" s="19">
        <v>0</v>
      </c>
      <c r="P9" s="19">
        <v>0</v>
      </c>
      <c r="Q9" s="19">
        <v>40</v>
      </c>
      <c r="R9" s="29">
        <v>28</v>
      </c>
      <c r="S9" s="29">
        <v>22</v>
      </c>
    </row>
  </sheetData>
  <mergeCells count="17"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  <mergeCell ref="N1:N2"/>
    <mergeCell ref="O1:O2"/>
    <mergeCell ref="A2:H2"/>
    <mergeCell ref="R1:R2"/>
    <mergeCell ref="S1:S2"/>
    <mergeCell ref="P1:P2"/>
    <mergeCell ref="Q1:Q2"/>
  </mergeCells>
  <conditionalFormatting sqref="J4:Q9">
    <cfRule type="cellIs" dxfId="149" priority="10" stopIfTrue="1" operator="greaterThan">
      <formula>0</formula>
    </cfRule>
    <cfRule type="cellIs" dxfId="148" priority="11" stopIfTrue="1" operator="greaterThan">
      <formula>0</formula>
    </cfRule>
    <cfRule type="cellIs" dxfId="147" priority="12" stopIfTrue="1" operator="greaterThan">
      <formula>0</formula>
    </cfRule>
  </conditionalFormatting>
  <conditionalFormatting sqref="I4">
    <cfRule type="cellIs" dxfId="146" priority="7" stopIfTrue="1" operator="greaterThan">
      <formula>0</formula>
    </cfRule>
    <cfRule type="cellIs" dxfId="145" priority="8" stopIfTrue="1" operator="greaterThan">
      <formula>0</formula>
    </cfRule>
    <cfRule type="cellIs" dxfId="144" priority="9" stopIfTrue="1" operator="greaterThan">
      <formula>0</formula>
    </cfRule>
  </conditionalFormatting>
  <conditionalFormatting sqref="I5:I9">
    <cfRule type="cellIs" dxfId="143" priority="4" stopIfTrue="1" operator="greaterThan">
      <formula>0</formula>
    </cfRule>
    <cfRule type="cellIs" dxfId="142" priority="5" stopIfTrue="1" operator="greaterThan">
      <formula>0</formula>
    </cfRule>
    <cfRule type="cellIs" dxfId="141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9"/>
  <sheetViews>
    <sheetView zoomScale="84" zoomScaleNormal="84" workbookViewId="0">
      <selection activeCell="Q7" sqref="Q7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4" width="12" style="18" customWidth="1"/>
    <col min="15" max="15" width="11.42578125" style="15" customWidth="1"/>
    <col min="16" max="16" width="11.28515625" style="15" customWidth="1"/>
    <col min="17" max="16384" width="9.7109375" style="15"/>
  </cols>
  <sheetData>
    <row r="1" spans="1:16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91</v>
      </c>
      <c r="J1" s="66" t="s">
        <v>110</v>
      </c>
      <c r="K1" s="66" t="s">
        <v>111</v>
      </c>
      <c r="L1" s="66" t="s">
        <v>112</v>
      </c>
      <c r="M1" s="66" t="s">
        <v>113</v>
      </c>
      <c r="N1" s="66" t="s">
        <v>114</v>
      </c>
      <c r="O1" s="66" t="s">
        <v>120</v>
      </c>
      <c r="P1" s="66" t="s">
        <v>121</v>
      </c>
    </row>
    <row r="2" spans="1:16" ht="21.75" customHeight="1" x14ac:dyDescent="0.25">
      <c r="A2" s="73" t="s">
        <v>38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  <c r="M2" s="66"/>
      <c r="N2" s="66"/>
      <c r="O2" s="66"/>
      <c r="P2" s="66"/>
    </row>
    <row r="3" spans="1:16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42151</v>
      </c>
      <c r="J3" s="27">
        <v>42174</v>
      </c>
      <c r="K3" s="27">
        <v>42181</v>
      </c>
      <c r="L3" s="27">
        <v>42285</v>
      </c>
      <c r="M3" s="27">
        <v>42297</v>
      </c>
      <c r="N3" s="27">
        <v>42404</v>
      </c>
      <c r="O3" s="27">
        <v>42475</v>
      </c>
      <c r="P3" s="27">
        <v>42496</v>
      </c>
    </row>
    <row r="4" spans="1:16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59"/>
      <c r="G4" s="50">
        <f>F4-(SUM(I4:P4))</f>
        <v>0</v>
      </c>
      <c r="H4" s="51" t="str">
        <f>IF(G4&lt;0,"ATENÇÃO","OK")</f>
        <v>OK</v>
      </c>
      <c r="I4" s="19"/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</row>
    <row r="5" spans="1:16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59">
        <v>50</v>
      </c>
      <c r="G5" s="50">
        <f t="shared" ref="G5:G9" si="0">F5-(SUM(I5:P5))</f>
        <v>31</v>
      </c>
      <c r="H5" s="51" t="str">
        <f t="shared" ref="H5:H9" si="1">IF(G5&lt;0,"ATENÇÃO","OK")</f>
        <v>OK</v>
      </c>
      <c r="I5" s="19">
        <f>25-18</f>
        <v>7</v>
      </c>
      <c r="J5" s="19">
        <f>11-5</f>
        <v>6</v>
      </c>
      <c r="K5" s="19">
        <v>0</v>
      </c>
      <c r="L5" s="19">
        <v>0</v>
      </c>
      <c r="M5" s="19">
        <v>0</v>
      </c>
      <c r="N5" s="19">
        <v>6</v>
      </c>
      <c r="O5" s="19">
        <v>0</v>
      </c>
      <c r="P5" s="19">
        <v>0</v>
      </c>
    </row>
    <row r="6" spans="1:16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59">
        <v>175</v>
      </c>
      <c r="G6" s="50">
        <f t="shared" si="0"/>
        <v>8</v>
      </c>
      <c r="H6" s="51" t="str">
        <f t="shared" si="1"/>
        <v>OK</v>
      </c>
      <c r="I6" s="19">
        <f>87-20-10</f>
        <v>57</v>
      </c>
      <c r="J6" s="19">
        <f>35-10</f>
        <v>25</v>
      </c>
      <c r="K6" s="19">
        <v>24</v>
      </c>
      <c r="L6" s="19">
        <f>8-5</f>
        <v>3</v>
      </c>
      <c r="M6" s="19">
        <v>5</v>
      </c>
      <c r="N6" s="19">
        <v>40</v>
      </c>
      <c r="O6" s="19">
        <v>13</v>
      </c>
      <c r="P6" s="19">
        <v>0</v>
      </c>
    </row>
    <row r="7" spans="1:16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/>
      <c r="G7" s="50">
        <f t="shared" si="0"/>
        <v>-33</v>
      </c>
      <c r="H7" s="51" t="str">
        <f t="shared" si="1"/>
        <v>ATENÇÃO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33</v>
      </c>
    </row>
    <row r="8" spans="1:16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21">
        <v>75</v>
      </c>
      <c r="G8" s="50">
        <f t="shared" si="0"/>
        <v>52</v>
      </c>
      <c r="H8" s="51" t="str">
        <f t="shared" si="1"/>
        <v>OK</v>
      </c>
      <c r="I8" s="19">
        <f>37-36-1</f>
        <v>0</v>
      </c>
      <c r="J8" s="19">
        <f>18-17</f>
        <v>1</v>
      </c>
      <c r="K8" s="19">
        <v>0</v>
      </c>
      <c r="L8" s="19">
        <v>0</v>
      </c>
      <c r="M8" s="19">
        <v>0</v>
      </c>
      <c r="N8" s="19">
        <v>22</v>
      </c>
      <c r="O8" s="19">
        <v>0</v>
      </c>
      <c r="P8" s="19">
        <v>0</v>
      </c>
    </row>
    <row r="9" spans="1:16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59">
        <v>200</v>
      </c>
      <c r="G9" s="50">
        <f t="shared" si="0"/>
        <v>62</v>
      </c>
      <c r="H9" s="51" t="str">
        <f t="shared" si="1"/>
        <v>OK</v>
      </c>
      <c r="I9" s="19">
        <f>100-18-30</f>
        <v>52</v>
      </c>
      <c r="J9" s="19">
        <f>42-16</f>
        <v>26</v>
      </c>
      <c r="K9" s="19">
        <v>0</v>
      </c>
      <c r="L9" s="19">
        <f>12-12</f>
        <v>0</v>
      </c>
      <c r="M9" s="19">
        <v>0</v>
      </c>
      <c r="N9" s="19">
        <v>60</v>
      </c>
      <c r="O9" s="19">
        <v>0</v>
      </c>
      <c r="P9" s="19">
        <v>0</v>
      </c>
    </row>
  </sheetData>
  <mergeCells count="14">
    <mergeCell ref="O1:O2"/>
    <mergeCell ref="P1:P2"/>
    <mergeCell ref="N1:N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M9">
    <cfRule type="cellIs" dxfId="140" priority="40" stopIfTrue="1" operator="greaterThan">
      <formula>0</formula>
    </cfRule>
    <cfRule type="cellIs" dxfId="139" priority="41" stopIfTrue="1" operator="greaterThan">
      <formula>0</formula>
    </cfRule>
    <cfRule type="cellIs" dxfId="138" priority="42" stopIfTrue="1" operator="greaterThan">
      <formula>0</formula>
    </cfRule>
  </conditionalFormatting>
  <conditionalFormatting sqref="N4">
    <cfRule type="cellIs" dxfId="137" priority="10" stopIfTrue="1" operator="greaterThan">
      <formula>0</formula>
    </cfRule>
    <cfRule type="cellIs" dxfId="136" priority="11" stopIfTrue="1" operator="greaterThan">
      <formula>0</formula>
    </cfRule>
    <cfRule type="cellIs" dxfId="135" priority="12" stopIfTrue="1" operator="greaterThan">
      <formula>0</formula>
    </cfRule>
  </conditionalFormatting>
  <conditionalFormatting sqref="N5:N9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I4">
    <cfRule type="cellIs" dxfId="131" priority="22" stopIfTrue="1" operator="greaterThan">
      <formula>0</formula>
    </cfRule>
    <cfRule type="cellIs" dxfId="130" priority="23" stopIfTrue="1" operator="greaterThan">
      <formula>0</formula>
    </cfRule>
    <cfRule type="cellIs" dxfId="129" priority="24" stopIfTrue="1" operator="greaterThan">
      <formula>0</formula>
    </cfRule>
  </conditionalFormatting>
  <conditionalFormatting sqref="I5:I9">
    <cfRule type="cellIs" dxfId="128" priority="19" stopIfTrue="1" operator="greaterThan">
      <formula>0</formula>
    </cfRule>
    <cfRule type="cellIs" dxfId="127" priority="20" stopIfTrue="1" operator="greaterThan">
      <formula>0</formula>
    </cfRule>
    <cfRule type="cellIs" dxfId="126" priority="21" stopIfTrue="1" operator="greaterThan">
      <formula>0</formula>
    </cfRule>
  </conditionalFormatting>
  <conditionalFormatting sqref="O4:P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O5:P9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84" zoomScaleNormal="84" workbookViewId="0">
      <selection activeCell="J1" sqref="J1:T1048576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9" width="12" style="18" customWidth="1"/>
    <col min="10" max="16384" width="9.7109375" style="15"/>
  </cols>
  <sheetData>
    <row r="1" spans="1:9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61</v>
      </c>
    </row>
    <row r="2" spans="1:9" ht="21.75" customHeight="1" x14ac:dyDescent="0.25">
      <c r="A2" s="73" t="s">
        <v>29</v>
      </c>
      <c r="B2" s="73"/>
      <c r="C2" s="73"/>
      <c r="D2" s="73"/>
      <c r="E2" s="73"/>
      <c r="F2" s="73"/>
      <c r="G2" s="73"/>
      <c r="H2" s="73"/>
      <c r="I2" s="66"/>
    </row>
    <row r="3" spans="1:9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42228</v>
      </c>
    </row>
    <row r="4" spans="1:9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/>
      <c r="G4" s="50">
        <f>F4-(SUM(I4:I4))</f>
        <v>0</v>
      </c>
      <c r="H4" s="51" t="str">
        <f>IF(G4&lt;0,"ATENÇÃO","OK")</f>
        <v>OK</v>
      </c>
      <c r="I4" s="19"/>
    </row>
    <row r="5" spans="1:9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v>75</v>
      </c>
      <c r="G5" s="50">
        <f>F5-(SUM(I5:I5))</f>
        <v>0</v>
      </c>
      <c r="H5" s="51" t="str">
        <f t="shared" ref="H5:H9" si="0">IF(G5&lt;0,"ATENÇÃO","OK")</f>
        <v>OK</v>
      </c>
      <c r="I5" s="19">
        <v>75</v>
      </c>
    </row>
    <row r="6" spans="1:9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v>40</v>
      </c>
      <c r="G6" s="50">
        <f>F6-(SUM(I6:I6))</f>
        <v>0</v>
      </c>
      <c r="H6" s="51" t="str">
        <f t="shared" si="0"/>
        <v>OK</v>
      </c>
      <c r="I6" s="19">
        <v>40</v>
      </c>
    </row>
    <row r="7" spans="1:9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>
        <v>20</v>
      </c>
      <c r="G7" s="50">
        <f>F7-(SUM(I7:I7))</f>
        <v>10</v>
      </c>
      <c r="H7" s="51" t="str">
        <f t="shared" si="0"/>
        <v>OK</v>
      </c>
      <c r="I7" s="19">
        <v>10</v>
      </c>
    </row>
    <row r="8" spans="1:9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190</v>
      </c>
      <c r="G8" s="50">
        <f>F8-(SUM(I8:I8))</f>
        <v>0</v>
      </c>
      <c r="H8" s="51" t="str">
        <f t="shared" si="0"/>
        <v>OK</v>
      </c>
      <c r="I8" s="19">
        <v>190</v>
      </c>
    </row>
    <row r="9" spans="1:9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/>
      <c r="G9" s="50">
        <f>F9-(SUM(I9:I9))</f>
        <v>0</v>
      </c>
      <c r="H9" s="51" t="str">
        <f t="shared" si="0"/>
        <v>OK</v>
      </c>
      <c r="I9" s="19">
        <v>0</v>
      </c>
    </row>
    <row r="10" spans="1:9" x14ac:dyDescent="0.25">
      <c r="I10" s="24"/>
    </row>
  </sheetData>
  <mergeCells count="7">
    <mergeCell ref="A2:H2"/>
    <mergeCell ref="A4:A9"/>
    <mergeCell ref="B4:B9"/>
    <mergeCell ref="A1:C1"/>
    <mergeCell ref="D1:E1"/>
    <mergeCell ref="F1:H1"/>
    <mergeCell ref="I1:I2"/>
  </mergeCells>
  <conditionalFormatting sqref="I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I5:I9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"/>
  <sheetViews>
    <sheetView zoomScale="84" zoomScaleNormal="84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1" width="12" style="18" customWidth="1"/>
    <col min="12" max="12" width="14.28515625" style="18" customWidth="1"/>
    <col min="13" max="14" width="12" style="18" customWidth="1"/>
    <col min="15" max="15" width="15.42578125" style="18" customWidth="1"/>
    <col min="16" max="16384" width="9.7109375" style="15"/>
  </cols>
  <sheetData>
    <row r="1" spans="1:15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74</v>
      </c>
      <c r="J1" s="66" t="s">
        <v>75</v>
      </c>
      <c r="K1" s="66" t="s">
        <v>76</v>
      </c>
      <c r="L1" s="66" t="s">
        <v>77</v>
      </c>
      <c r="M1" s="66" t="s">
        <v>78</v>
      </c>
      <c r="N1" s="66" t="s">
        <v>122</v>
      </c>
      <c r="O1" s="66" t="s">
        <v>123</v>
      </c>
    </row>
    <row r="2" spans="1:15" ht="21.75" customHeight="1" x14ac:dyDescent="0.25">
      <c r="A2" s="73" t="s">
        <v>39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  <c r="M2" s="66"/>
      <c r="N2" s="66"/>
      <c r="O2" s="66"/>
    </row>
    <row r="3" spans="1:15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42132</v>
      </c>
      <c r="J3" s="27">
        <v>42192</v>
      </c>
      <c r="K3" s="27">
        <v>42236</v>
      </c>
      <c r="L3" s="27">
        <v>42243</v>
      </c>
      <c r="M3" s="27">
        <v>42303</v>
      </c>
      <c r="N3" s="27">
        <v>42318</v>
      </c>
      <c r="O3" s="27">
        <v>42331</v>
      </c>
    </row>
    <row r="4" spans="1:15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/>
      <c r="G4" s="50">
        <f t="shared" ref="G4:G9" si="0">F4-(SUM(I4:O4))</f>
        <v>0</v>
      </c>
      <c r="H4" s="51" t="str">
        <f>IF(G4&lt;0,"ATENÇÃO","OK")</f>
        <v>OK</v>
      </c>
      <c r="I4" s="19"/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</row>
    <row r="5" spans="1:15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v>5</v>
      </c>
      <c r="G5" s="50">
        <f t="shared" si="0"/>
        <v>0</v>
      </c>
      <c r="H5" s="51" t="str">
        <f t="shared" ref="H5:H9" si="1">IF(G5&lt;0,"ATENÇÃO","OK")</f>
        <v>OK</v>
      </c>
      <c r="I5" s="19">
        <v>0</v>
      </c>
      <c r="J5" s="19">
        <v>0</v>
      </c>
      <c r="K5" s="19">
        <v>0</v>
      </c>
      <c r="L5" s="19">
        <v>2</v>
      </c>
      <c r="M5" s="19">
        <v>0</v>
      </c>
      <c r="N5" s="19">
        <v>3</v>
      </c>
      <c r="O5" s="19">
        <v>0</v>
      </c>
    </row>
    <row r="6" spans="1:15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f>50+26+50</f>
        <v>126</v>
      </c>
      <c r="G6" s="50">
        <f t="shared" si="0"/>
        <v>16</v>
      </c>
      <c r="H6" s="51" t="str">
        <f t="shared" si="1"/>
        <v>OK</v>
      </c>
      <c r="I6" s="19">
        <v>20</v>
      </c>
      <c r="J6" s="19">
        <v>42</v>
      </c>
      <c r="K6" s="19">
        <v>10</v>
      </c>
      <c r="L6" s="19">
        <v>0</v>
      </c>
      <c r="M6" s="19">
        <v>3</v>
      </c>
      <c r="N6" s="19">
        <v>25</v>
      </c>
      <c r="O6" s="19">
        <v>10</v>
      </c>
    </row>
    <row r="7" spans="1:15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/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</row>
    <row r="8" spans="1:15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/>
      <c r="G8" s="50">
        <f t="shared" si="0"/>
        <v>0</v>
      </c>
      <c r="H8" s="51" t="str">
        <f t="shared" si="1"/>
        <v>OK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5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f>110+55</f>
        <v>165</v>
      </c>
      <c r="G9" s="50">
        <f t="shared" si="0"/>
        <v>0</v>
      </c>
      <c r="H9" s="51" t="str">
        <f t="shared" si="1"/>
        <v>OK</v>
      </c>
      <c r="I9" s="19">
        <v>40</v>
      </c>
      <c r="J9" s="19">
        <v>100</v>
      </c>
      <c r="K9" s="19">
        <v>10</v>
      </c>
      <c r="L9" s="19">
        <v>3</v>
      </c>
      <c r="M9" s="19">
        <v>6</v>
      </c>
      <c r="N9" s="19">
        <v>6</v>
      </c>
      <c r="O9" s="19">
        <v>0</v>
      </c>
    </row>
  </sheetData>
  <mergeCells count="13">
    <mergeCell ref="N1:N2"/>
    <mergeCell ref="O1:O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I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I5:I9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J4:O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J5:O9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zoomScale="84" zoomScaleNormal="84" workbookViewId="0">
      <selection activeCell="G29" sqref="G29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1" width="12" style="18" customWidth="1"/>
    <col min="12" max="16384" width="9.7109375" style="15"/>
  </cols>
  <sheetData>
    <row r="1" spans="1:11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85</v>
      </c>
      <c r="J1" s="66" t="s">
        <v>86</v>
      </c>
      <c r="K1" s="66" t="s">
        <v>87</v>
      </c>
    </row>
    <row r="2" spans="1:11" ht="21.75" customHeight="1" x14ac:dyDescent="0.25">
      <c r="A2" s="73" t="s">
        <v>30</v>
      </c>
      <c r="B2" s="73"/>
      <c r="C2" s="73"/>
      <c r="D2" s="73"/>
      <c r="E2" s="73"/>
      <c r="F2" s="73"/>
      <c r="G2" s="73"/>
      <c r="H2" s="73"/>
      <c r="I2" s="66"/>
      <c r="J2" s="66"/>
      <c r="K2" s="66"/>
    </row>
    <row r="3" spans="1:11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42149</v>
      </c>
      <c r="J3" s="27">
        <v>42226</v>
      </c>
      <c r="K3" s="27">
        <v>42255</v>
      </c>
    </row>
    <row r="4" spans="1:11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/>
      <c r="G4" s="50">
        <f t="shared" ref="G4:G9" si="0">F4-(SUM(I4:K4))</f>
        <v>0</v>
      </c>
      <c r="H4" s="51" t="str">
        <f>IF(G4&lt;0,"ATENÇÃO","OK")</f>
        <v>OK</v>
      </c>
      <c r="I4" s="19"/>
      <c r="J4" s="19">
        <v>0</v>
      </c>
      <c r="K4" s="19">
        <v>0</v>
      </c>
    </row>
    <row r="5" spans="1:11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v>10</v>
      </c>
      <c r="G5" s="50">
        <f t="shared" si="0"/>
        <v>10</v>
      </c>
      <c r="H5" s="51" t="str">
        <f t="shared" ref="H5:H9" si="1">IF(G5&lt;0,"ATENÇÃO","OK")</f>
        <v>OK</v>
      </c>
      <c r="I5" s="19">
        <v>0</v>
      </c>
      <c r="J5" s="19">
        <v>0</v>
      </c>
      <c r="K5" s="19">
        <v>0</v>
      </c>
    </row>
    <row r="6" spans="1:11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v>50</v>
      </c>
      <c r="G6" s="50">
        <f t="shared" si="0"/>
        <v>7</v>
      </c>
      <c r="H6" s="51" t="str">
        <f t="shared" si="1"/>
        <v>OK</v>
      </c>
      <c r="I6" s="19">
        <v>20</v>
      </c>
      <c r="J6" s="19">
        <v>13</v>
      </c>
      <c r="K6" s="19">
        <v>10</v>
      </c>
    </row>
    <row r="7" spans="1:11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>
        <v>5</v>
      </c>
      <c r="G7" s="50">
        <f t="shared" si="0"/>
        <v>5</v>
      </c>
      <c r="H7" s="51" t="str">
        <f t="shared" si="1"/>
        <v>OK</v>
      </c>
      <c r="I7" s="19">
        <v>0</v>
      </c>
      <c r="J7" s="19">
        <v>0</v>
      </c>
      <c r="K7" s="19">
        <v>0</v>
      </c>
    </row>
    <row r="8" spans="1:11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18</v>
      </c>
      <c r="G8" s="50">
        <f t="shared" si="0"/>
        <v>18</v>
      </c>
      <c r="H8" s="51" t="str">
        <f t="shared" si="1"/>
        <v>OK</v>
      </c>
      <c r="I8" s="19">
        <v>0</v>
      </c>
      <c r="J8" s="19">
        <v>0</v>
      </c>
      <c r="K8" s="19">
        <v>0</v>
      </c>
    </row>
    <row r="9" spans="1:11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f>113-24-15</f>
        <v>74</v>
      </c>
      <c r="G9" s="50">
        <f t="shared" si="0"/>
        <v>18</v>
      </c>
      <c r="H9" s="51" t="str">
        <f t="shared" si="1"/>
        <v>OK</v>
      </c>
      <c r="I9" s="19">
        <v>35</v>
      </c>
      <c r="J9" s="19">
        <v>21</v>
      </c>
      <c r="K9" s="19">
        <v>0</v>
      </c>
    </row>
  </sheetData>
  <mergeCells count="9">
    <mergeCell ref="I1:I2"/>
    <mergeCell ref="J1:J2"/>
    <mergeCell ref="K1:K2"/>
    <mergeCell ref="A2:H2"/>
    <mergeCell ref="A4:A9"/>
    <mergeCell ref="B4:B9"/>
    <mergeCell ref="A1:C1"/>
    <mergeCell ref="D1:E1"/>
    <mergeCell ref="F1:H1"/>
  </mergeCells>
  <conditionalFormatting sqref="I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I5:I9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J4:K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J5:K9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"/>
  <sheetViews>
    <sheetView zoomScale="84" zoomScaleNormal="84" workbookViewId="0">
      <selection activeCell="L21" sqref="L2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1" width="12" style="18" customWidth="1"/>
    <col min="12" max="12" width="11.85546875" style="18" bestFit="1" customWidth="1"/>
    <col min="13" max="16384" width="9.7109375" style="15"/>
  </cols>
  <sheetData>
    <row r="1" spans="1:12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88</v>
      </c>
      <c r="J1" s="66" t="s">
        <v>89</v>
      </c>
      <c r="K1" s="66" t="s">
        <v>90</v>
      </c>
      <c r="L1" s="66" t="s">
        <v>136</v>
      </c>
    </row>
    <row r="2" spans="1:12" ht="21.75" customHeight="1" x14ac:dyDescent="0.25">
      <c r="A2" s="73" t="s">
        <v>34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</row>
    <row r="3" spans="1:12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42185</v>
      </c>
      <c r="J3" s="27">
        <v>42192</v>
      </c>
      <c r="K3" s="27">
        <v>42262</v>
      </c>
      <c r="L3" s="27">
        <v>42447</v>
      </c>
    </row>
    <row r="4" spans="1:12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>
        <v>5</v>
      </c>
      <c r="G4" s="50">
        <f t="shared" ref="G4:G9" si="0">F4-(SUM(I4:L4))</f>
        <v>5</v>
      </c>
      <c r="H4" s="51" t="str">
        <f>IF(G4&lt;0,"ATENÇÃO","OK")</f>
        <v>OK</v>
      </c>
      <c r="I4" s="19"/>
      <c r="J4" s="19">
        <v>0</v>
      </c>
      <c r="K4" s="19">
        <v>0</v>
      </c>
      <c r="L4" s="19">
        <v>0</v>
      </c>
    </row>
    <row r="5" spans="1:12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v>5</v>
      </c>
      <c r="G5" s="50">
        <f t="shared" si="0"/>
        <v>5</v>
      </c>
      <c r="H5" s="51" t="str">
        <f t="shared" ref="H5:H9" si="1">IF(G5&lt;0,"ATENÇÃO","OK")</f>
        <v>OK</v>
      </c>
      <c r="I5" s="19">
        <v>0</v>
      </c>
      <c r="J5" s="19">
        <v>0</v>
      </c>
      <c r="K5" s="19">
        <v>0</v>
      </c>
      <c r="L5" s="19">
        <v>0</v>
      </c>
    </row>
    <row r="6" spans="1:12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f>30+15+15</f>
        <v>60</v>
      </c>
      <c r="G6" s="50">
        <f t="shared" si="0"/>
        <v>0</v>
      </c>
      <c r="H6" s="51" t="str">
        <f t="shared" si="1"/>
        <v>OK</v>
      </c>
      <c r="I6" s="19">
        <v>30</v>
      </c>
      <c r="J6" s="19">
        <v>30</v>
      </c>
      <c r="K6" s="19">
        <v>0</v>
      </c>
      <c r="L6" s="19">
        <v>0</v>
      </c>
    </row>
    <row r="7" spans="1:12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>
        <f>19+5+40+5+11</f>
        <v>80</v>
      </c>
      <c r="G7" s="50">
        <f t="shared" si="0"/>
        <v>28</v>
      </c>
      <c r="H7" s="51" t="str">
        <f t="shared" si="1"/>
        <v>OK</v>
      </c>
      <c r="I7" s="19">
        <v>0</v>
      </c>
      <c r="J7" s="19">
        <v>0</v>
      </c>
      <c r="K7" s="19">
        <v>24</v>
      </c>
      <c r="L7" s="19">
        <v>28</v>
      </c>
    </row>
    <row r="8" spans="1:12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10</v>
      </c>
      <c r="G8" s="50">
        <f t="shared" si="0"/>
        <v>10</v>
      </c>
      <c r="H8" s="51" t="str">
        <f t="shared" si="1"/>
        <v>OK</v>
      </c>
      <c r="I8" s="19">
        <v>0</v>
      </c>
      <c r="J8" s="19">
        <v>0</v>
      </c>
      <c r="K8" s="19">
        <v>0</v>
      </c>
      <c r="L8" s="19">
        <v>0</v>
      </c>
    </row>
    <row r="9" spans="1:12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f>70+60</f>
        <v>130</v>
      </c>
      <c r="G9" s="50">
        <f t="shared" si="0"/>
        <v>0</v>
      </c>
      <c r="H9" s="51" t="str">
        <f t="shared" si="1"/>
        <v>OK</v>
      </c>
      <c r="I9" s="19">
        <v>70</v>
      </c>
      <c r="J9" s="19">
        <v>60</v>
      </c>
      <c r="K9" s="19">
        <v>0</v>
      </c>
      <c r="L9" s="19">
        <v>0</v>
      </c>
    </row>
  </sheetData>
  <mergeCells count="10">
    <mergeCell ref="A2:H2"/>
    <mergeCell ref="A4:A9"/>
    <mergeCell ref="B4:B9"/>
    <mergeCell ref="L1:L2"/>
    <mergeCell ref="A1:C1"/>
    <mergeCell ref="D1:E1"/>
    <mergeCell ref="F1:H1"/>
    <mergeCell ref="I1:I2"/>
    <mergeCell ref="J1:J2"/>
    <mergeCell ref="K1:K2"/>
  </mergeCells>
  <conditionalFormatting sqref="I4">
    <cfRule type="cellIs" dxfId="77" priority="10" stopIfTrue="1" operator="greaterThan">
      <formula>0</formula>
    </cfRule>
    <cfRule type="cellIs" dxfId="76" priority="11" stopIfTrue="1" operator="greaterThan">
      <formula>0</formula>
    </cfRule>
    <cfRule type="cellIs" dxfId="75" priority="12" stopIfTrue="1" operator="greaterThan">
      <formula>0</formula>
    </cfRule>
  </conditionalFormatting>
  <conditionalFormatting sqref="I5:I9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J4:K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J5:K9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conditionalFormatting sqref="L4">
    <cfRule type="cellIs" dxfId="65" priority="16" stopIfTrue="1" operator="greaterThan">
      <formula>0</formula>
    </cfRule>
    <cfRule type="cellIs" dxfId="64" priority="17" stopIfTrue="1" operator="greaterThan">
      <formula>0</formula>
    </cfRule>
    <cfRule type="cellIs" dxfId="63" priority="18" stopIfTrue="1" operator="greaterThan">
      <formula>0</formula>
    </cfRule>
  </conditionalFormatting>
  <conditionalFormatting sqref="L5:L9">
    <cfRule type="cellIs" dxfId="62" priority="13" stopIfTrue="1" operator="greaterThan">
      <formula>0</formula>
    </cfRule>
    <cfRule type="cellIs" dxfId="61" priority="14" stopIfTrue="1" operator="greaterThan">
      <formula>0</formula>
    </cfRule>
    <cfRule type="cellIs" dxfId="60" priority="15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"/>
  <sheetViews>
    <sheetView zoomScale="84" zoomScaleNormal="84" workbookViewId="0">
      <selection activeCell="D4" sqref="D4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3" width="12" style="18" customWidth="1"/>
    <col min="14" max="16384" width="9.7109375" style="15"/>
  </cols>
  <sheetData>
    <row r="1" spans="1:13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106</v>
      </c>
      <c r="J1" s="66" t="s">
        <v>107</v>
      </c>
      <c r="K1" s="66" t="s">
        <v>108</v>
      </c>
      <c r="L1" s="66" t="s">
        <v>109</v>
      </c>
      <c r="M1" s="66" t="s">
        <v>124</v>
      </c>
    </row>
    <row r="2" spans="1:13" ht="21.75" customHeight="1" x14ac:dyDescent="0.25">
      <c r="A2" s="73" t="s">
        <v>32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  <c r="M2" s="66"/>
    </row>
    <row r="3" spans="1:13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42165</v>
      </c>
      <c r="J3" s="27">
        <v>42181</v>
      </c>
      <c r="K3" s="27">
        <v>42243</v>
      </c>
      <c r="L3" s="27">
        <v>42298</v>
      </c>
      <c r="M3" s="46" t="s">
        <v>2</v>
      </c>
    </row>
    <row r="4" spans="1:13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>
        <v>5</v>
      </c>
      <c r="G4" s="50">
        <f t="shared" ref="G4:G9" si="0">F4-(SUM(I4:M4))</f>
        <v>5</v>
      </c>
      <c r="H4" s="51" t="str">
        <f>IF(G4&lt;0,"ATENÇÃO","OK")</f>
        <v>OK</v>
      </c>
      <c r="I4" s="19"/>
      <c r="J4" s="19"/>
      <c r="K4" s="19">
        <v>0</v>
      </c>
      <c r="L4" s="19">
        <v>0</v>
      </c>
      <c r="M4" s="19">
        <v>0</v>
      </c>
    </row>
    <row r="5" spans="1:13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f>25+20+2</f>
        <v>47</v>
      </c>
      <c r="G5" s="50">
        <f t="shared" si="0"/>
        <v>0</v>
      </c>
      <c r="H5" s="51" t="str">
        <f t="shared" ref="H5:H9" si="1">IF(G5&lt;0,"ATENÇÃO","OK")</f>
        <v>OK</v>
      </c>
      <c r="I5" s="19">
        <v>4</v>
      </c>
      <c r="J5" s="19">
        <v>10</v>
      </c>
      <c r="K5" s="19">
        <v>11</v>
      </c>
      <c r="L5" s="19">
        <f>5-3</f>
        <v>2</v>
      </c>
      <c r="M5" s="19">
        <v>20</v>
      </c>
    </row>
    <row r="6" spans="1:13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v>50</v>
      </c>
      <c r="G6" s="50">
        <f t="shared" si="0"/>
        <v>0</v>
      </c>
      <c r="H6" s="51" t="str">
        <f t="shared" si="1"/>
        <v>OK</v>
      </c>
      <c r="I6" s="19">
        <v>0</v>
      </c>
      <c r="J6" s="19">
        <v>10</v>
      </c>
      <c r="K6" s="19">
        <v>20</v>
      </c>
      <c r="L6" s="19">
        <f>20-8</f>
        <v>12</v>
      </c>
      <c r="M6" s="19">
        <v>8</v>
      </c>
    </row>
    <row r="7" spans="1:13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>
        <f>50-40</f>
        <v>10</v>
      </c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  <c r="K7" s="19">
        <v>10</v>
      </c>
      <c r="L7" s="19">
        <v>0</v>
      </c>
      <c r="M7" s="19">
        <v>0</v>
      </c>
    </row>
    <row r="8" spans="1:13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10</v>
      </c>
      <c r="G8" s="50">
        <f t="shared" si="0"/>
        <v>10</v>
      </c>
      <c r="H8" s="51" t="str">
        <f t="shared" si="1"/>
        <v>OK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</row>
    <row r="9" spans="1:13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v>25</v>
      </c>
      <c r="G9" s="50">
        <f t="shared" si="0"/>
        <v>25</v>
      </c>
      <c r="H9" s="51" t="str">
        <f t="shared" si="1"/>
        <v>OK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</row>
  </sheetData>
  <mergeCells count="11">
    <mergeCell ref="M1:M2"/>
    <mergeCell ref="A2:H2"/>
    <mergeCell ref="A4:A9"/>
    <mergeCell ref="B4:B9"/>
    <mergeCell ref="L1:L2"/>
    <mergeCell ref="A1:C1"/>
    <mergeCell ref="D1:E1"/>
    <mergeCell ref="F1:H1"/>
    <mergeCell ref="I1:I2"/>
    <mergeCell ref="J1:J2"/>
    <mergeCell ref="K1:K2"/>
  </mergeCells>
  <conditionalFormatting sqref="I4">
    <cfRule type="cellIs" dxfId="59" priority="16" stopIfTrue="1" operator="greaterThan">
      <formula>0</formula>
    </cfRule>
    <cfRule type="cellIs" dxfId="58" priority="17" stopIfTrue="1" operator="greaterThan">
      <formula>0</formula>
    </cfRule>
    <cfRule type="cellIs" dxfId="57" priority="18" stopIfTrue="1" operator="greaterThan">
      <formula>0</formula>
    </cfRule>
  </conditionalFormatting>
  <conditionalFormatting sqref="I5:I9">
    <cfRule type="cellIs" dxfId="56" priority="13" stopIfTrue="1" operator="greaterThan">
      <formula>0</formula>
    </cfRule>
    <cfRule type="cellIs" dxfId="55" priority="14" stopIfTrue="1" operator="greaterThan">
      <formula>0</formula>
    </cfRule>
    <cfRule type="cellIs" dxfId="54" priority="15" stopIfTrue="1" operator="greaterThan">
      <formula>0</formula>
    </cfRule>
  </conditionalFormatting>
  <conditionalFormatting sqref="J4:L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J5:L9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M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M5:M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"/>
  <sheetViews>
    <sheetView zoomScale="84" zoomScaleNormal="84" workbookViewId="0">
      <selection activeCell="D1" sqref="D1:E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5" width="12" style="18" customWidth="1"/>
    <col min="16" max="16384" width="9.7109375" style="15"/>
  </cols>
  <sheetData>
    <row r="1" spans="1:15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79</v>
      </c>
      <c r="J1" s="66" t="s">
        <v>80</v>
      </c>
      <c r="K1" s="66" t="s">
        <v>81</v>
      </c>
      <c r="L1" s="66" t="s">
        <v>82</v>
      </c>
      <c r="M1" s="66" t="s">
        <v>83</v>
      </c>
      <c r="N1" s="66" t="s">
        <v>100</v>
      </c>
      <c r="O1" s="66" t="s">
        <v>125</v>
      </c>
    </row>
    <row r="2" spans="1:15" ht="21.75" customHeight="1" x14ac:dyDescent="0.25">
      <c r="A2" s="73" t="s">
        <v>33</v>
      </c>
      <c r="B2" s="73"/>
      <c r="C2" s="73"/>
      <c r="D2" s="73"/>
      <c r="E2" s="73"/>
      <c r="F2" s="73"/>
      <c r="G2" s="73"/>
      <c r="H2" s="73"/>
      <c r="I2" s="66"/>
      <c r="J2" s="66"/>
      <c r="K2" s="66"/>
      <c r="L2" s="66"/>
      <c r="M2" s="66"/>
      <c r="N2" s="66"/>
      <c r="O2" s="66"/>
    </row>
    <row r="3" spans="1:15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42184</v>
      </c>
      <c r="J3" s="46" t="s">
        <v>101</v>
      </c>
      <c r="K3" s="27">
        <v>42312</v>
      </c>
      <c r="L3" s="27">
        <v>42312</v>
      </c>
      <c r="M3" s="27">
        <v>42313</v>
      </c>
      <c r="N3" s="27">
        <v>42340</v>
      </c>
      <c r="O3" s="27">
        <v>42425</v>
      </c>
    </row>
    <row r="4" spans="1:15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60">
        <v>3</v>
      </c>
      <c r="G4" s="50">
        <f t="shared" ref="G4:G9" si="0">F4-(SUM(I4:O4))</f>
        <v>3</v>
      </c>
      <c r="H4" s="51" t="str">
        <f>IF(G4&lt;0,"ATENÇÃO","OK")</f>
        <v>OK</v>
      </c>
      <c r="I4" s="19"/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</row>
    <row r="5" spans="1:15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60">
        <v>5</v>
      </c>
      <c r="G5" s="50">
        <f t="shared" si="0"/>
        <v>1</v>
      </c>
      <c r="H5" s="51" t="str">
        <f t="shared" ref="H5:H9" si="1">IF(G5&lt;0,"ATENÇÃO","OK")</f>
        <v>OK</v>
      </c>
      <c r="I5" s="19">
        <v>0</v>
      </c>
      <c r="J5" s="19">
        <v>2</v>
      </c>
      <c r="K5" s="19">
        <v>2</v>
      </c>
      <c r="L5" s="19">
        <v>0</v>
      </c>
      <c r="M5" s="19">
        <v>0</v>
      </c>
      <c r="N5" s="19">
        <v>0</v>
      </c>
      <c r="O5" s="19">
        <v>0</v>
      </c>
    </row>
    <row r="6" spans="1:15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60">
        <f>20+15+5+30</f>
        <v>70</v>
      </c>
      <c r="G6" s="50">
        <f t="shared" si="0"/>
        <v>4</v>
      </c>
      <c r="H6" s="51" t="str">
        <f t="shared" si="1"/>
        <v>OK</v>
      </c>
      <c r="I6" s="19">
        <v>16</v>
      </c>
      <c r="J6" s="19">
        <v>1</v>
      </c>
      <c r="K6" s="19">
        <v>0</v>
      </c>
      <c r="L6" s="19">
        <v>21</v>
      </c>
      <c r="M6" s="25">
        <f>32-6</f>
        <v>26</v>
      </c>
      <c r="N6" s="19">
        <v>0</v>
      </c>
      <c r="O6" s="19">
        <v>2</v>
      </c>
    </row>
    <row r="7" spans="1:15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60"/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</row>
    <row r="8" spans="1:15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60">
        <v>20</v>
      </c>
      <c r="G8" s="50">
        <f t="shared" si="0"/>
        <v>5</v>
      </c>
      <c r="H8" s="51" t="str">
        <f t="shared" si="1"/>
        <v>OK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15</v>
      </c>
      <c r="O8" s="19">
        <v>0</v>
      </c>
    </row>
    <row r="9" spans="1:15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60">
        <v>8</v>
      </c>
      <c r="G9" s="50">
        <f t="shared" si="0"/>
        <v>8</v>
      </c>
      <c r="H9" s="51" t="str">
        <f t="shared" si="1"/>
        <v>OK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</row>
    <row r="10" spans="1:15" ht="60" x14ac:dyDescent="0.25">
      <c r="B10" s="61" t="s">
        <v>102</v>
      </c>
      <c r="C10" s="62">
        <v>3</v>
      </c>
      <c r="D10" s="61" t="s">
        <v>103</v>
      </c>
    </row>
    <row r="12" spans="1:15" ht="45" x14ac:dyDescent="0.25">
      <c r="B12" s="61" t="s">
        <v>102</v>
      </c>
      <c r="C12" s="62">
        <v>3</v>
      </c>
      <c r="D12" s="61" t="s">
        <v>104</v>
      </c>
    </row>
    <row r="14" spans="1:15" x14ac:dyDescent="0.25">
      <c r="B14" s="74" t="s">
        <v>105</v>
      </c>
      <c r="C14" s="74"/>
      <c r="D14" s="74"/>
    </row>
  </sheetData>
  <mergeCells count="14">
    <mergeCell ref="B14:D14"/>
    <mergeCell ref="A2:H2"/>
    <mergeCell ref="A4:A9"/>
    <mergeCell ref="B4:B9"/>
    <mergeCell ref="L1:L2"/>
    <mergeCell ref="A1:C1"/>
    <mergeCell ref="D1:E1"/>
    <mergeCell ref="F1:H1"/>
    <mergeCell ref="N1:N2"/>
    <mergeCell ref="O1:O2"/>
    <mergeCell ref="I1:I2"/>
    <mergeCell ref="J1:J2"/>
    <mergeCell ref="K1:K2"/>
    <mergeCell ref="M1:M2"/>
  </mergeCells>
  <conditionalFormatting sqref="I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I5:I9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J4:O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J5:O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zoomScale="84" zoomScaleNormal="84" workbookViewId="0">
      <selection activeCell="D1" sqref="D1:E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1" width="12" style="18" customWidth="1"/>
    <col min="12" max="16384" width="9.7109375" style="15"/>
  </cols>
  <sheetData>
    <row r="1" spans="1:11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71</v>
      </c>
      <c r="J1" s="66" t="s">
        <v>72</v>
      </c>
      <c r="K1" s="66" t="s">
        <v>126</v>
      </c>
    </row>
    <row r="2" spans="1:11" ht="21.75" customHeight="1" x14ac:dyDescent="0.25">
      <c r="A2" s="73" t="s">
        <v>35</v>
      </c>
      <c r="B2" s="73"/>
      <c r="C2" s="73"/>
      <c r="D2" s="73"/>
      <c r="E2" s="73"/>
      <c r="F2" s="73"/>
      <c r="G2" s="73"/>
      <c r="H2" s="73"/>
      <c r="I2" s="66"/>
      <c r="J2" s="66"/>
      <c r="K2" s="66"/>
    </row>
    <row r="3" spans="1:11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27">
        <v>42152</v>
      </c>
      <c r="J3" s="46" t="s">
        <v>73</v>
      </c>
      <c r="K3" s="46" t="s">
        <v>2</v>
      </c>
    </row>
    <row r="4" spans="1:11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>
        <v>10</v>
      </c>
      <c r="G4" s="50">
        <f t="shared" ref="G4:G9" si="0">F4-(SUM(I4:K4))</f>
        <v>10</v>
      </c>
      <c r="H4" s="51" t="str">
        <f>IF(G4&lt;0,"ATENÇÃO","OK")</f>
        <v>OK</v>
      </c>
      <c r="I4" s="19"/>
      <c r="J4" s="19">
        <v>0</v>
      </c>
      <c r="K4" s="19">
        <v>0</v>
      </c>
    </row>
    <row r="5" spans="1:11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v>15</v>
      </c>
      <c r="G5" s="50">
        <f t="shared" si="0"/>
        <v>8</v>
      </c>
      <c r="H5" s="51" t="str">
        <f t="shared" ref="H5:H9" si="1">IF(G5&lt;0,"ATENÇÃO","OK")</f>
        <v>OK</v>
      </c>
      <c r="I5" s="19">
        <v>0</v>
      </c>
      <c r="J5" s="19">
        <v>4</v>
      </c>
      <c r="K5" s="19">
        <v>3</v>
      </c>
    </row>
    <row r="6" spans="1:11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v>25</v>
      </c>
      <c r="G6" s="50">
        <f t="shared" si="0"/>
        <v>16</v>
      </c>
      <c r="H6" s="51" t="str">
        <f t="shared" si="1"/>
        <v>OK</v>
      </c>
      <c r="I6" s="19">
        <v>2</v>
      </c>
      <c r="J6" s="19">
        <v>4</v>
      </c>
      <c r="K6" s="19">
        <v>3</v>
      </c>
    </row>
    <row r="7" spans="1:11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>
        <f>15-5</f>
        <v>10</v>
      </c>
      <c r="G7" s="50">
        <f t="shared" si="0"/>
        <v>10</v>
      </c>
      <c r="H7" s="51" t="str">
        <f t="shared" si="1"/>
        <v>OK</v>
      </c>
      <c r="I7" s="19">
        <v>0</v>
      </c>
      <c r="J7" s="19">
        <v>0</v>
      </c>
      <c r="K7" s="19">
        <v>0</v>
      </c>
    </row>
    <row r="8" spans="1:11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>
        <v>15</v>
      </c>
      <c r="G8" s="50">
        <f t="shared" si="0"/>
        <v>15</v>
      </c>
      <c r="H8" s="51" t="str">
        <f t="shared" si="1"/>
        <v>OK</v>
      </c>
      <c r="I8" s="19">
        <v>0</v>
      </c>
      <c r="J8" s="19">
        <v>0</v>
      </c>
      <c r="K8" s="19">
        <v>0</v>
      </c>
    </row>
    <row r="9" spans="1:11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v>15</v>
      </c>
      <c r="G9" s="50">
        <f t="shared" si="0"/>
        <v>15</v>
      </c>
      <c r="H9" s="51" t="str">
        <f t="shared" si="1"/>
        <v>OK</v>
      </c>
      <c r="I9" s="19">
        <v>0</v>
      </c>
      <c r="J9" s="19">
        <v>0</v>
      </c>
      <c r="K9" s="19">
        <v>0</v>
      </c>
    </row>
  </sheetData>
  <mergeCells count="9">
    <mergeCell ref="I1:I2"/>
    <mergeCell ref="J1:J2"/>
    <mergeCell ref="K1:K2"/>
    <mergeCell ref="A2:H2"/>
    <mergeCell ref="A4:A9"/>
    <mergeCell ref="B4:B9"/>
    <mergeCell ref="A1:C1"/>
    <mergeCell ref="D1:E1"/>
    <mergeCell ref="F1:H1"/>
  </mergeCells>
  <conditionalFormatting sqref="I4">
    <cfRule type="cellIs" dxfId="29" priority="16" stopIfTrue="1" operator="greaterThan">
      <formula>0</formula>
    </cfRule>
    <cfRule type="cellIs" dxfId="28" priority="17" stopIfTrue="1" operator="greaterThan">
      <formula>0</formula>
    </cfRule>
    <cfRule type="cellIs" dxfId="27" priority="18" stopIfTrue="1" operator="greaterThan">
      <formula>0</formula>
    </cfRule>
  </conditionalFormatting>
  <conditionalFormatting sqref="I5:I9">
    <cfRule type="cellIs" dxfId="26" priority="13" stopIfTrue="1" operator="greaterThan">
      <formula>0</formula>
    </cfRule>
    <cfRule type="cellIs" dxfId="25" priority="14" stopIfTrue="1" operator="greaterThan">
      <formula>0</formula>
    </cfRule>
    <cfRule type="cellIs" dxfId="24" priority="15" stopIfTrue="1" operator="greaterThan">
      <formula>0</formula>
    </cfRule>
  </conditionalFormatting>
  <conditionalFormatting sqref="J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J5:J9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K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K5:K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zoomScale="84" zoomScaleNormal="84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1.28515625" style="20" customWidth="1"/>
    <col min="7" max="7" width="13.28515625" style="56" customWidth="1"/>
    <col min="8" max="8" width="12.5703125" style="17" customWidth="1"/>
    <col min="9" max="10" width="12" style="18" customWidth="1"/>
    <col min="11" max="16384" width="9.7109375" style="15"/>
  </cols>
  <sheetData>
    <row r="1" spans="1:10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66" t="s">
        <v>84</v>
      </c>
      <c r="J1" s="66" t="s">
        <v>127</v>
      </c>
    </row>
    <row r="2" spans="1:10" ht="21.75" customHeight="1" x14ac:dyDescent="0.25">
      <c r="A2" s="73" t="s">
        <v>31</v>
      </c>
      <c r="B2" s="73"/>
      <c r="C2" s="73"/>
      <c r="D2" s="73"/>
      <c r="E2" s="73"/>
      <c r="F2" s="73"/>
      <c r="G2" s="73"/>
      <c r="H2" s="73"/>
      <c r="I2" s="66"/>
      <c r="J2" s="66"/>
    </row>
    <row r="3" spans="1:10" s="16" customFormat="1" ht="30" x14ac:dyDescent="0.2">
      <c r="A3" s="41" t="s">
        <v>3</v>
      </c>
      <c r="B3" s="41" t="s">
        <v>1</v>
      </c>
      <c r="C3" s="42" t="s">
        <v>4</v>
      </c>
      <c r="D3" s="42" t="s">
        <v>5</v>
      </c>
      <c r="E3" s="43" t="s">
        <v>50</v>
      </c>
      <c r="F3" s="44" t="s">
        <v>27</v>
      </c>
      <c r="G3" s="45" t="s">
        <v>0</v>
      </c>
      <c r="H3" s="41" t="s">
        <v>6</v>
      </c>
      <c r="I3" s="46" t="s">
        <v>2</v>
      </c>
      <c r="J3" s="46" t="s">
        <v>2</v>
      </c>
    </row>
    <row r="4" spans="1:10" ht="20.100000000000001" customHeight="1" x14ac:dyDescent="0.25">
      <c r="A4" s="70" t="s">
        <v>49</v>
      </c>
      <c r="B4" s="67">
        <v>1</v>
      </c>
      <c r="C4" s="47">
        <v>1</v>
      </c>
      <c r="D4" s="22" t="s">
        <v>45</v>
      </c>
      <c r="E4" s="48">
        <v>8.5000000000000006E-2</v>
      </c>
      <c r="F4" s="49"/>
      <c r="G4" s="50">
        <f t="shared" ref="G4:G9" si="0">F4-(SUM(I4:J4))</f>
        <v>0</v>
      </c>
      <c r="H4" s="51" t="str">
        <f>IF(G4&lt;0,"ATENÇÃO","OK")</f>
        <v>OK</v>
      </c>
      <c r="I4" s="19"/>
      <c r="J4" s="19">
        <v>0</v>
      </c>
    </row>
    <row r="5" spans="1:10" ht="20.100000000000001" customHeight="1" x14ac:dyDescent="0.25">
      <c r="A5" s="71"/>
      <c r="B5" s="68"/>
      <c r="C5" s="47">
        <v>2</v>
      </c>
      <c r="D5" s="22" t="s">
        <v>44</v>
      </c>
      <c r="E5" s="52">
        <v>0.08</v>
      </c>
      <c r="F5" s="49">
        <f>5-2</f>
        <v>3</v>
      </c>
      <c r="G5" s="50">
        <f t="shared" si="0"/>
        <v>2</v>
      </c>
      <c r="H5" s="51" t="str">
        <f t="shared" ref="H5:H9" si="1">IF(G5&lt;0,"ATENÇÃO","OK")</f>
        <v>OK</v>
      </c>
      <c r="I5" s="19">
        <v>0</v>
      </c>
      <c r="J5" s="19">
        <v>1</v>
      </c>
    </row>
    <row r="6" spans="1:10" ht="20.100000000000001" customHeight="1" x14ac:dyDescent="0.25">
      <c r="A6" s="71"/>
      <c r="B6" s="68"/>
      <c r="C6" s="47">
        <v>3</v>
      </c>
      <c r="D6" s="22" t="s">
        <v>43</v>
      </c>
      <c r="E6" s="23">
        <v>7.6999999999999999E-2</v>
      </c>
      <c r="F6" s="49">
        <f>15-5</f>
        <v>10</v>
      </c>
      <c r="G6" s="50">
        <f t="shared" si="0"/>
        <v>9</v>
      </c>
      <c r="H6" s="51" t="str">
        <f t="shared" si="1"/>
        <v>OK</v>
      </c>
      <c r="I6" s="19">
        <v>1</v>
      </c>
      <c r="J6" s="19">
        <v>0</v>
      </c>
    </row>
    <row r="7" spans="1:10" ht="20.100000000000001" customHeight="1" x14ac:dyDescent="0.25">
      <c r="A7" s="71"/>
      <c r="B7" s="68"/>
      <c r="C7" s="47">
        <v>4</v>
      </c>
      <c r="D7" s="22" t="s">
        <v>46</v>
      </c>
      <c r="E7" s="52">
        <v>0.08</v>
      </c>
      <c r="F7" s="49"/>
      <c r="G7" s="50">
        <f t="shared" si="0"/>
        <v>0</v>
      </c>
      <c r="H7" s="51" t="str">
        <f t="shared" si="1"/>
        <v>OK</v>
      </c>
      <c r="I7" s="19">
        <v>0</v>
      </c>
      <c r="J7" s="19">
        <v>0</v>
      </c>
    </row>
    <row r="8" spans="1:10" ht="20.100000000000001" customHeight="1" x14ac:dyDescent="0.25">
      <c r="A8" s="71"/>
      <c r="B8" s="68"/>
      <c r="C8" s="53">
        <v>5</v>
      </c>
      <c r="D8" s="21" t="s">
        <v>47</v>
      </c>
      <c r="E8" s="48">
        <v>0.08</v>
      </c>
      <c r="F8" s="54"/>
      <c r="G8" s="50">
        <f t="shared" si="0"/>
        <v>0</v>
      </c>
      <c r="H8" s="51" t="str">
        <f t="shared" si="1"/>
        <v>OK</v>
      </c>
      <c r="I8" s="19">
        <v>0</v>
      </c>
      <c r="J8" s="19">
        <v>0</v>
      </c>
    </row>
    <row r="9" spans="1:10" ht="20.100000000000001" customHeight="1" x14ac:dyDescent="0.25">
      <c r="A9" s="72"/>
      <c r="B9" s="69"/>
      <c r="C9" s="53">
        <v>6</v>
      </c>
      <c r="D9" s="21" t="s">
        <v>48</v>
      </c>
      <c r="E9" s="48">
        <v>6.8000000000000005E-2</v>
      </c>
      <c r="F9" s="49">
        <f>50-20-15</f>
        <v>15</v>
      </c>
      <c r="G9" s="50">
        <f t="shared" si="0"/>
        <v>15</v>
      </c>
      <c r="H9" s="51" t="str">
        <f t="shared" si="1"/>
        <v>OK</v>
      </c>
      <c r="I9" s="19">
        <v>0</v>
      </c>
      <c r="J9" s="19">
        <v>0</v>
      </c>
    </row>
  </sheetData>
  <mergeCells count="8">
    <mergeCell ref="I1:I2"/>
    <mergeCell ref="J1:J2"/>
    <mergeCell ref="A2:H2"/>
    <mergeCell ref="A4:A9"/>
    <mergeCell ref="B4:B9"/>
    <mergeCell ref="A1:C1"/>
    <mergeCell ref="D1:E1"/>
    <mergeCell ref="F1:H1"/>
  </mergeCells>
  <conditionalFormatting sqref="I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I5:I9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J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J5:J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84" zoomScaleNormal="84" workbookViewId="0">
      <selection activeCell="J15" sqref="J15"/>
    </sheetView>
  </sheetViews>
  <sheetFormatPr defaultColWidth="9.7109375" defaultRowHeight="15" x14ac:dyDescent="0.25"/>
  <cols>
    <col min="1" max="1" width="14.5703125" style="1" customWidth="1"/>
    <col min="2" max="2" width="7.42578125" style="1" customWidth="1"/>
    <col min="3" max="3" width="6" style="55" bestFit="1" customWidth="1"/>
    <col min="4" max="4" width="60.42578125" style="1" customWidth="1"/>
    <col min="5" max="5" width="12.7109375" style="1" bestFit="1" customWidth="1"/>
    <col min="6" max="6" width="12.28515625" style="20" bestFit="1" customWidth="1"/>
    <col min="7" max="7" width="13.28515625" style="56" customWidth="1"/>
    <col min="8" max="8" width="13.5703125" style="17" customWidth="1"/>
    <col min="9" max="9" width="11.42578125" style="15" customWidth="1"/>
    <col min="10" max="10" width="14.140625" style="15" customWidth="1"/>
    <col min="11" max="16384" width="9.7109375" style="15"/>
  </cols>
  <sheetData>
    <row r="1" spans="1:10" ht="58.5" customHeight="1" x14ac:dyDescent="0.25">
      <c r="A1" s="73" t="s">
        <v>41</v>
      </c>
      <c r="B1" s="73"/>
      <c r="C1" s="73"/>
      <c r="D1" s="73" t="s">
        <v>40</v>
      </c>
      <c r="E1" s="73"/>
      <c r="F1" s="73" t="s">
        <v>42</v>
      </c>
      <c r="G1" s="73"/>
      <c r="H1" s="73"/>
      <c r="I1" s="82" t="s">
        <v>58</v>
      </c>
      <c r="J1" s="83"/>
    </row>
    <row r="2" spans="1:10" s="16" customFormat="1" ht="30" x14ac:dyDescent="0.2">
      <c r="A2" s="41" t="s">
        <v>3</v>
      </c>
      <c r="B2" s="41" t="s">
        <v>1</v>
      </c>
      <c r="C2" s="42" t="s">
        <v>4</v>
      </c>
      <c r="D2" s="42" t="s">
        <v>5</v>
      </c>
      <c r="E2" s="43" t="s">
        <v>50</v>
      </c>
      <c r="F2" s="44" t="s">
        <v>57</v>
      </c>
      <c r="G2" s="45" t="s">
        <v>56</v>
      </c>
      <c r="H2" s="41" t="s">
        <v>55</v>
      </c>
      <c r="I2" s="41" t="s">
        <v>59</v>
      </c>
      <c r="J2" s="41" t="s">
        <v>60</v>
      </c>
    </row>
    <row r="3" spans="1:10" ht="20.100000000000001" customHeight="1" x14ac:dyDescent="0.25">
      <c r="A3" s="70" t="s">
        <v>49</v>
      </c>
      <c r="B3" s="67">
        <v>1</v>
      </c>
      <c r="C3" s="47">
        <v>1</v>
      </c>
      <c r="D3" s="22" t="s">
        <v>45</v>
      </c>
      <c r="E3" s="48">
        <v>8.5000000000000006E-2</v>
      </c>
      <c r="F3" s="49">
        <f>SUM('Reit-PROAD'!F4,'Reit-PROEN'!F4,'Reit-PROEX'!F4,Museu!F4,ESAG!F4,CEART!F4,FAED!F4,CEAD!F4,CEFID!F4,CERES!F4,CESFI!F4,CCT!F4,CEO!F4,CEAVI!F4,CEPLAN!F4)</f>
        <v>48</v>
      </c>
      <c r="G3" s="63">
        <f>SUM(('Reit-PROAD'!F4-'Reit-PROAD'!G4),('Reit-PROEN'!F4-'Reit-PROEN'!G4),('Reit-PROEX'!F4-'Reit-PROEX'!G4),(Museu!F4-Museu!G4),(ESAG!F4-ESAG!G4),(CEART!F4-CEART!G4),(FAED!F4-FAED!G4),(CEAD!F4-CEAD!G4),(CEFID!F4-CEFID!G4),(CERES!F4-CERES!G4),(CESFI!F4-CESFI!G4),(CCT!F4-CCT!G4),(CEO!F4-CEO!G4),(CEAVI!F4-CEAVI!G4),(CEPLAN!F4-CEPLAN!G4))</f>
        <v>0</v>
      </c>
      <c r="H3" s="64">
        <f>F3-G3</f>
        <v>48</v>
      </c>
      <c r="I3" s="64"/>
      <c r="J3" s="64"/>
    </row>
    <row r="4" spans="1:10" ht="20.100000000000001" customHeight="1" x14ac:dyDescent="0.25">
      <c r="A4" s="71"/>
      <c r="B4" s="68"/>
      <c r="C4" s="47">
        <v>2</v>
      </c>
      <c r="D4" s="22" t="s">
        <v>44</v>
      </c>
      <c r="E4" s="52">
        <v>0.08</v>
      </c>
      <c r="F4" s="49">
        <f>SUM('Reit-PROAD'!F5,'Reit-PROEN'!F5,'Reit-PROEX'!F5,Museu!F5,ESAG!F5,CEART!F5,FAED!F5,CEAD!F5,CEFID!F5,CERES!F5,CESFI!F5,CCT!F5,CEO!F5,CEAVI!F5,CEPLAN!F5)</f>
        <v>406</v>
      </c>
      <c r="G4" s="63">
        <f>SUM(('Reit-PROAD'!F5-'Reit-PROAD'!G5),('Reit-PROEN'!F5-'Reit-PROEN'!G5),('Reit-PROEX'!F5-'Reit-PROEX'!G5),(Museu!F5-Museu!G5),(ESAG!F5-ESAG!G5),(CEART!F5-CEART!G5),(FAED!F5-FAED!G5),(CEAD!F5-CEAD!G5),(CEFID!F5-CEFID!G5),(CERES!F5-CERES!G5),(CESFI!F5-CESFI!G5),(CCT!F5-CCT!G5),(CEO!F5-CEO!G5),(CEAVI!F5-CEAVI!G5),(CEPLAN!F5-CEPLAN!G5))</f>
        <v>211</v>
      </c>
      <c r="H4" s="64">
        <f t="shared" ref="H4:H7" si="0">F4-G4</f>
        <v>195</v>
      </c>
      <c r="I4" s="64"/>
      <c r="J4" s="64"/>
    </row>
    <row r="5" spans="1:10" ht="20.100000000000001" customHeight="1" x14ac:dyDescent="0.25">
      <c r="A5" s="71"/>
      <c r="B5" s="68"/>
      <c r="C5" s="47">
        <v>3</v>
      </c>
      <c r="D5" s="22" t="s">
        <v>43</v>
      </c>
      <c r="E5" s="23">
        <v>7.6999999999999999E-2</v>
      </c>
      <c r="F5" s="49">
        <f>SUM('Reit-PROAD'!F6,'Reit-PROEN'!F6,'Reit-PROEX'!F6,Museu!F6,ESAG!F6,CEART!F6,FAED!F6,CEAD!F6,CEFID!F6,CERES!F6,CESFI!F6,CCT!F6,CEO!F6,CEAVI!F6,CEPLAN!F6)</f>
        <v>1344</v>
      </c>
      <c r="G5" s="63">
        <f>SUM(('Reit-PROAD'!F6-'Reit-PROAD'!G6),('Reit-PROEN'!F6-'Reit-PROEN'!G6),('Reit-PROEX'!F6-'Reit-PROEX'!G6),(Museu!F6-Museu!G6),(ESAG!F6-ESAG!G6),(CEART!F6-CEART!G6),(FAED!F6-FAED!G6),(CEAD!F6-CEAD!G6),(CEFID!F6-CEFID!G6),(CERES!F6-CERES!G6),(CESFI!F6-CESFI!G6),(CCT!F6-CCT!G6),(CEO!F6-CEO!G6),(CEAVI!F6-CEAVI!G6),(CEPLAN!F6-CEPLAN!G6))</f>
        <v>971</v>
      </c>
      <c r="H5" s="64">
        <f t="shared" si="0"/>
        <v>373</v>
      </c>
      <c r="I5" s="64">
        <v>269</v>
      </c>
      <c r="J5" s="64">
        <f>(I5*100)/1075</f>
        <v>25.023255813953487</v>
      </c>
    </row>
    <row r="6" spans="1:10" ht="20.100000000000001" customHeight="1" x14ac:dyDescent="0.25">
      <c r="A6" s="71"/>
      <c r="B6" s="68"/>
      <c r="C6" s="47">
        <v>4</v>
      </c>
      <c r="D6" s="22" t="s">
        <v>46</v>
      </c>
      <c r="E6" s="52">
        <v>0.08</v>
      </c>
      <c r="F6" s="49">
        <f>SUM('Reit-PROAD'!F7,'Reit-PROEN'!F7,'Reit-PROEX'!F7,Museu!F7,ESAG!F7,CEART!F7,FAED!F7,CEAD!F7,CEFID!F7,CERES!F7,CESFI!F7,CCT!F7,CEO!F7,CEAVI!F7,CEPLAN!F7)</f>
        <v>170</v>
      </c>
      <c r="G6" s="63">
        <f>SUM(('Reit-PROAD'!F7-'Reit-PROAD'!G7),('Reit-PROEN'!F7-'Reit-PROEN'!G7),('Reit-PROEX'!F7-'Reit-PROEX'!G7),(Museu!F7-Museu!G7),(ESAG!F7-ESAG!G7),(CEART!F7-CEART!G7),(FAED!F7-FAED!G7),(CEAD!F7-CEAD!G7),(CEFID!F7-CEFID!G7),(CERES!F7-CERES!G7),(CESFI!F7-CESFI!G7),(CCT!F7-CCT!G7),(CEO!F7-CEO!G7),(CEAVI!F7-CEAVI!G7),(CEPLAN!F7-CEPLAN!G7))</f>
        <v>135</v>
      </c>
      <c r="H6" s="64">
        <f t="shared" si="0"/>
        <v>35</v>
      </c>
      <c r="I6" s="64"/>
      <c r="J6" s="64"/>
    </row>
    <row r="7" spans="1:10" ht="20.100000000000001" customHeight="1" x14ac:dyDescent="0.25">
      <c r="A7" s="71"/>
      <c r="B7" s="68"/>
      <c r="C7" s="53">
        <v>5</v>
      </c>
      <c r="D7" s="21" t="s">
        <v>47</v>
      </c>
      <c r="E7" s="48">
        <v>0.08</v>
      </c>
      <c r="F7" s="49">
        <f>SUM('Reit-PROAD'!F8,'Reit-PROEN'!F8,'Reit-PROEX'!F8,Museu!F8,ESAG!F8,CEART!F8,FAED!F8,CEAD!F8,CEFID!F8,CERES!F8,CESFI!F8,CCT!F8,CEO!F8,CEAVI!F8,CEPLAN!F8)</f>
        <v>559</v>
      </c>
      <c r="G7" s="63">
        <f>SUM(('Reit-PROAD'!F8-'Reit-PROAD'!G8),('Reit-PROEN'!F8-'Reit-PROEN'!G8),('Reit-PROEX'!F8-'Reit-PROEX'!G8),(Museu!F8-Museu!G8),(ESAG!F8-ESAG!G8),(CEART!F8-CEART!G8),(FAED!F8-FAED!G8),(CEAD!F8-CEAD!G8),(CEFID!F8-CEFID!G8),(CERES!F8-CERES!G8),(CESFI!F8-CESFI!G8),(CCT!F8-CCT!G8),(CEO!F8-CEO!G8),(CEAVI!F8-CEAVI!G8),(CEPLAN!F8-CEPLAN!G8))</f>
        <v>268</v>
      </c>
      <c r="H7" s="64">
        <f t="shared" si="0"/>
        <v>291</v>
      </c>
      <c r="I7" s="64"/>
      <c r="J7" s="64"/>
    </row>
    <row r="8" spans="1:10" ht="20.100000000000001" customHeight="1" x14ac:dyDescent="0.25">
      <c r="A8" s="72"/>
      <c r="B8" s="69"/>
      <c r="C8" s="53">
        <v>6</v>
      </c>
      <c r="D8" s="21" t="s">
        <v>48</v>
      </c>
      <c r="E8" s="48">
        <v>6.8000000000000005E-2</v>
      </c>
      <c r="F8" s="49">
        <f>SUM('Reit-PROAD'!F9,'Reit-PROEN'!F9,'Reit-PROEX'!F9,Museu!F9,ESAG!F9,CEART!F9,FAED!F9,CEAD!F9,CEFID!F9,CERES!F9,CESFI!F9,CCT!F9,CEO!F9,CEAVI!F9,CEPLAN!F9)</f>
        <v>1783</v>
      </c>
      <c r="G8" s="63">
        <f>SUM(('Reit-PROAD'!F9-'Reit-PROAD'!G9),('Reit-PROEN'!F9-'Reit-PROEN'!G9),('Reit-PROEX'!F9-'Reit-PROEX'!G9),(Museu!F9-Museu!G9),(ESAG!F9-ESAG!G9),(CEART!F9-CEART!G9),(FAED!F9-FAED!G9),(CEAD!F9-CEAD!G9),(CEFID!F9-CEFID!G9),(CERES!F9-CERES!G9),(CESFI!F9-CESFI!G9),(CCT!F9-CCT!G9),(CEO!F9-CEO!G9),(CEAVI!F9-CEAVI!G9),(CEPLAN!F9-CEPLAN!G9))</f>
        <v>1640</v>
      </c>
      <c r="H8" s="64">
        <f>F8-G8</f>
        <v>143</v>
      </c>
      <c r="I8" s="64">
        <v>357</v>
      </c>
      <c r="J8" s="64">
        <f>(I8*100)/1426</f>
        <v>25.035063113604487</v>
      </c>
    </row>
    <row r="9" spans="1:10" x14ac:dyDescent="0.25">
      <c r="F9" s="38">
        <f>SUM(F3:F8)</f>
        <v>4310</v>
      </c>
      <c r="G9" s="65">
        <f>SUM(G3:G8)</f>
        <v>3225</v>
      </c>
    </row>
    <row r="11" spans="1:10" ht="15.75" x14ac:dyDescent="0.25">
      <c r="F11" s="75" t="s">
        <v>132</v>
      </c>
      <c r="G11" s="75"/>
      <c r="H11" s="75"/>
      <c r="I11" s="75"/>
      <c r="J11" s="75"/>
    </row>
    <row r="12" spans="1:10" ht="47.25" customHeight="1" x14ac:dyDescent="0.25">
      <c r="F12" s="75" t="s">
        <v>133</v>
      </c>
      <c r="G12" s="75"/>
      <c r="H12" s="75"/>
      <c r="I12" s="75"/>
      <c r="J12" s="75"/>
    </row>
    <row r="13" spans="1:10" ht="15.75" x14ac:dyDescent="0.25">
      <c r="F13" s="76" t="s">
        <v>134</v>
      </c>
      <c r="G13" s="77"/>
      <c r="H13" s="77"/>
      <c r="I13" s="77"/>
      <c r="J13" s="78"/>
    </row>
    <row r="14" spans="1:10" ht="15.75" x14ac:dyDescent="0.25">
      <c r="F14" s="30" t="s">
        <v>128</v>
      </c>
      <c r="G14" s="31"/>
      <c r="H14" s="31"/>
      <c r="I14" s="31"/>
      <c r="J14" s="39">
        <f>F9</f>
        <v>4310</v>
      </c>
    </row>
    <row r="15" spans="1:10" ht="15.75" x14ac:dyDescent="0.25">
      <c r="F15" s="32" t="s">
        <v>129</v>
      </c>
      <c r="G15" s="33"/>
      <c r="H15" s="33"/>
      <c r="I15" s="33"/>
      <c r="J15" s="40">
        <f>G9</f>
        <v>3225</v>
      </c>
    </row>
    <row r="16" spans="1:10" ht="15.75" x14ac:dyDescent="0.25">
      <c r="F16" s="32" t="s">
        <v>130</v>
      </c>
      <c r="G16" s="33"/>
      <c r="H16" s="33"/>
      <c r="I16" s="33"/>
      <c r="J16" s="34"/>
    </row>
    <row r="17" spans="6:10" ht="15.75" x14ac:dyDescent="0.25">
      <c r="F17" s="35" t="s">
        <v>131</v>
      </c>
      <c r="G17" s="36"/>
      <c r="H17" s="36"/>
      <c r="I17" s="36"/>
      <c r="J17" s="37">
        <f>J15/J14</f>
        <v>0.74825986078886308</v>
      </c>
    </row>
    <row r="18" spans="6:10" ht="15.75" x14ac:dyDescent="0.25">
      <c r="F18" s="79" t="s">
        <v>135</v>
      </c>
      <c r="G18" s="80"/>
      <c r="H18" s="80"/>
      <c r="I18" s="80"/>
      <c r="J18" s="81"/>
    </row>
  </sheetData>
  <mergeCells count="10">
    <mergeCell ref="F11:J11"/>
    <mergeCell ref="F12:J12"/>
    <mergeCell ref="F13:J13"/>
    <mergeCell ref="F18:J18"/>
    <mergeCell ref="I1:J1"/>
    <mergeCell ref="A3:A8"/>
    <mergeCell ref="B3:B8"/>
    <mergeCell ref="A1:C1"/>
    <mergeCell ref="D1:E1"/>
    <mergeCell ref="F1:H1"/>
  </mergeCells>
  <pageMargins left="0.74791666666666667" right="0.74791666666666667" top="0.98402777777777772" bottom="0.98402777777777772" header="0.51180555555555551" footer="0.51180555555555551"/>
  <pageSetup paperSize="9" scale="83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85" t="s">
        <v>10</v>
      </c>
      <c r="B1" s="85"/>
      <c r="C1" s="85"/>
      <c r="D1" s="85"/>
      <c r="E1" s="85"/>
      <c r="F1" s="85"/>
      <c r="G1" s="85"/>
      <c r="H1" s="85"/>
    </row>
    <row r="2" spans="1:8" ht="20.25" x14ac:dyDescent="0.2">
      <c r="B2" s="3"/>
    </row>
    <row r="3" spans="1:8" ht="47.25" customHeight="1" x14ac:dyDescent="0.2">
      <c r="A3" s="86" t="s">
        <v>11</v>
      </c>
      <c r="B3" s="86"/>
      <c r="C3" s="86"/>
      <c r="D3" s="86"/>
      <c r="E3" s="86"/>
      <c r="F3" s="86"/>
      <c r="G3" s="86"/>
      <c r="H3" s="86"/>
    </row>
    <row r="4" spans="1:8" ht="35.25" customHeight="1" x14ac:dyDescent="0.2">
      <c r="B4" s="4"/>
    </row>
    <row r="5" spans="1:8" ht="15" customHeight="1" x14ac:dyDescent="0.2">
      <c r="A5" s="87" t="s">
        <v>12</v>
      </c>
      <c r="B5" s="87"/>
      <c r="C5" s="87"/>
      <c r="D5" s="87"/>
      <c r="E5" s="87"/>
      <c r="F5" s="87"/>
      <c r="G5" s="87"/>
      <c r="H5" s="87"/>
    </row>
    <row r="6" spans="1:8" ht="15" customHeight="1" x14ac:dyDescent="0.2">
      <c r="A6" s="87" t="s">
        <v>13</v>
      </c>
      <c r="B6" s="87"/>
      <c r="C6" s="87"/>
      <c r="D6" s="87"/>
      <c r="E6" s="87"/>
      <c r="F6" s="87"/>
      <c r="G6" s="87"/>
      <c r="H6" s="87"/>
    </row>
    <row r="7" spans="1:8" ht="15" customHeight="1" x14ac:dyDescent="0.2">
      <c r="A7" s="87" t="s">
        <v>14</v>
      </c>
      <c r="B7" s="87"/>
      <c r="C7" s="87"/>
      <c r="D7" s="87"/>
      <c r="E7" s="87"/>
      <c r="F7" s="87"/>
      <c r="G7" s="87"/>
      <c r="H7" s="87"/>
    </row>
    <row r="8" spans="1:8" ht="15" customHeight="1" x14ac:dyDescent="0.2">
      <c r="A8" s="87" t="s">
        <v>15</v>
      </c>
      <c r="B8" s="87"/>
      <c r="C8" s="87"/>
      <c r="D8" s="87"/>
      <c r="E8" s="87"/>
      <c r="F8" s="87"/>
      <c r="G8" s="87"/>
      <c r="H8" s="87"/>
    </row>
    <row r="9" spans="1:8" ht="30" customHeight="1" x14ac:dyDescent="0.2">
      <c r="B9" s="5"/>
    </row>
    <row r="10" spans="1:8" ht="105" customHeight="1" x14ac:dyDescent="0.2">
      <c r="A10" s="88" t="s">
        <v>16</v>
      </c>
      <c r="B10" s="88"/>
      <c r="C10" s="88"/>
      <c r="D10" s="88"/>
      <c r="E10" s="88"/>
      <c r="F10" s="88"/>
      <c r="G10" s="88"/>
      <c r="H10" s="88"/>
    </row>
    <row r="11" spans="1:8" ht="15.75" thickBot="1" x14ac:dyDescent="0.25">
      <c r="B11" s="6"/>
    </row>
    <row r="12" spans="1:8" ht="48.75" thickBot="1" x14ac:dyDescent="0.25">
      <c r="A12" s="7" t="s">
        <v>9</v>
      </c>
      <c r="B12" s="7" t="s">
        <v>7</v>
      </c>
      <c r="C12" s="8" t="s">
        <v>17</v>
      </c>
      <c r="D12" s="8" t="s">
        <v>8</v>
      </c>
      <c r="E12" s="8" t="s">
        <v>18</v>
      </c>
      <c r="F12" s="8" t="s">
        <v>19</v>
      </c>
      <c r="G12" s="8" t="s">
        <v>20</v>
      </c>
      <c r="H12" s="8" t="s">
        <v>21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9" t="s">
        <v>22</v>
      </c>
      <c r="B19" s="89"/>
      <c r="C19" s="89"/>
      <c r="D19" s="89"/>
      <c r="E19" s="89"/>
      <c r="F19" s="89"/>
      <c r="G19" s="89"/>
      <c r="H19" s="89"/>
    </row>
    <row r="20" spans="1:8" ht="14.25" x14ac:dyDescent="0.2">
      <c r="A20" s="90" t="s">
        <v>23</v>
      </c>
      <c r="B20" s="90"/>
      <c r="C20" s="90"/>
      <c r="D20" s="90"/>
      <c r="E20" s="90"/>
      <c r="F20" s="90"/>
      <c r="G20" s="90"/>
      <c r="H20" s="90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91" t="s">
        <v>24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">
      <c r="A25" s="91" t="s">
        <v>25</v>
      </c>
      <c r="B25" s="91"/>
      <c r="C25" s="91"/>
      <c r="D25" s="91"/>
      <c r="E25" s="91"/>
      <c r="F25" s="91"/>
      <c r="G25" s="91"/>
      <c r="H25" s="91"/>
    </row>
    <row r="26" spans="1:8" ht="15" customHeight="1" x14ac:dyDescent="0.2">
      <c r="A26" s="84" t="s">
        <v>26</v>
      </c>
      <c r="B26" s="84"/>
      <c r="C26" s="84"/>
      <c r="D26" s="84"/>
      <c r="E26" s="84"/>
      <c r="F26" s="84"/>
      <c r="G26" s="84"/>
      <c r="H26" s="8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Reit-PROAD</vt:lpstr>
      <vt:lpstr>Reit-PROEN</vt:lpstr>
      <vt:lpstr>Reit-PROEX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CEO</vt:lpstr>
      <vt:lpstr>CEAVI</vt:lpstr>
      <vt:lpstr>CEPLAN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2015-07-08T18:46:53Z</cp:lastPrinted>
  <dcterms:created xsi:type="dcterms:W3CDTF">2010-06-19T20:43:11Z</dcterms:created>
  <dcterms:modified xsi:type="dcterms:W3CDTF">2016-06-16T20:03:21Z</dcterms:modified>
</cp:coreProperties>
</file>