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31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LANILHAS DE OCUPAÇÃO DOCENTE\Planos de Trabalho\Planos de Trabalho 2025.1\"/>
    </mc:Choice>
  </mc:AlternateContent>
  <xr:revisionPtr revIDLastSave="0" documentId="13_ncr:1_{1D09107E-4D29-44F5-B838-0C260FECC69B}" xr6:coauthVersionLast="47" xr6:coauthVersionMax="47" xr10:uidLastSave="{00000000-0000-0000-0000-000000000000}"/>
  <bookViews>
    <workbookView xWindow="-120" yWindow="-120" windowWidth="29040" windowHeight="15720" activeTab="9" xr2:uid="{0263E350-D479-43B1-A31C-C391B73F19E9}"/>
  </bookViews>
  <sheets>
    <sheet name="Manual" sheetId="7" r:id="rId1"/>
    <sheet name="Aike" sheetId="11" r:id="rId2"/>
    <sheet name="Altamir" sheetId="26" r:id="rId3"/>
    <sheet name="Andre" sheetId="27" r:id="rId4"/>
    <sheet name="Antonio" sheetId="28" r:id="rId5"/>
    <sheet name="Carlos" sheetId="49" r:id="rId6"/>
    <sheet name="Cassandro" sheetId="32" r:id="rId7"/>
    <sheet name="Celio" sheetId="29" r:id="rId8"/>
    <sheet name="Cileide" sheetId="30" r:id="rId9"/>
    <sheet name="Claudio" sheetId="33" r:id="rId10"/>
    <sheet name="Clovis" sheetId="34" r:id="rId11"/>
    <sheet name="Cristiano" sheetId="35" r:id="rId12"/>
    <sheet name="Daniele" sheetId="36" r:id="rId13"/>
    <sheet name="Fabio" sheetId="37" r:id="rId14"/>
    <sheet name="Francine" sheetId="40" r:id="rId15"/>
    <sheet name="Germano" sheetId="38" r:id="rId16"/>
    <sheet name="Jefferson" sheetId="39" r:id="rId17"/>
    <sheet name="Leo" sheetId="41" r:id="rId18"/>
    <sheet name="Leonardo" sheetId="42" r:id="rId19"/>
    <sheet name="Luís" sheetId="43" r:id="rId20"/>
    <sheet name="Mari" sheetId="44" r:id="rId21"/>
    <sheet name="Olivio" sheetId="45" r:id="rId22"/>
    <sheet name="Ricardo" sheetId="46" r:id="rId23"/>
    <sheet name="Rita" sheetId="47" r:id="rId24"/>
    <sheet name="Ef1" sheetId="53" r:id="rId25"/>
    <sheet name="Ef2" sheetId="54" r:id="rId26"/>
    <sheet name="Ef3" sheetId="55" r:id="rId27"/>
    <sheet name="Ef4" sheetId="56" r:id="rId28"/>
    <sheet name="Ef5" sheetId="57" r:id="rId29"/>
    <sheet name="Ef6" sheetId="58" r:id="rId30"/>
    <sheet name="Ef7" sheetId="59" r:id="rId31"/>
    <sheet name="POD" sheetId="50" r:id="rId32"/>
    <sheet name="Dados" sheetId="2" state="hidden" r:id="rId33"/>
    <sheet name="Grades Curriculares" sheetId="3" state="hidden" r:id="rId34"/>
    <sheet name="Grade Pós" sheetId="5" state="hidden" r:id="rId35"/>
    <sheet name="Profs" sheetId="4" state="hidden" r:id="rId36"/>
  </sheets>
  <definedNames>
    <definedName name="_xlnm._FilterDatabase" localSheetId="31" hidden="1">POD!$H$1:$Y$1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50" l="1"/>
  <c r="A30" i="50"/>
  <c r="B30" i="50" s="1"/>
  <c r="T148" i="59"/>
  <c r="G148" i="59"/>
  <c r="F148" i="59"/>
  <c r="B148" i="59"/>
  <c r="J134" i="59"/>
  <c r="I134" i="59"/>
  <c r="V148" i="59" s="1"/>
  <c r="H134" i="59"/>
  <c r="U148" i="59" s="1"/>
  <c r="F134" i="59"/>
  <c r="K148" i="59" s="1"/>
  <c r="K130" i="59"/>
  <c r="F125" i="59"/>
  <c r="F119" i="59"/>
  <c r="F113" i="59"/>
  <c r="G134" i="59" s="1"/>
  <c r="S148" i="59" s="1"/>
  <c r="R112" i="59"/>
  <c r="L112" i="59"/>
  <c r="R111" i="59"/>
  <c r="L111" i="59"/>
  <c r="R110" i="59"/>
  <c r="L110" i="59"/>
  <c r="R109" i="59"/>
  <c r="L109" i="59"/>
  <c r="R108" i="59"/>
  <c r="L108" i="59"/>
  <c r="R107" i="59"/>
  <c r="L107" i="59"/>
  <c r="R106" i="59"/>
  <c r="L106" i="59"/>
  <c r="R105" i="59"/>
  <c r="L105" i="59"/>
  <c r="R104" i="59"/>
  <c r="L104" i="59"/>
  <c r="R103" i="59"/>
  <c r="L103" i="59"/>
  <c r="R102" i="59"/>
  <c r="L102" i="59"/>
  <c r="R101" i="59"/>
  <c r="L101" i="59"/>
  <c r="L113" i="59" s="1"/>
  <c r="P97" i="59"/>
  <c r="O97" i="59"/>
  <c r="F97" i="59"/>
  <c r="P96" i="59"/>
  <c r="O96" i="59"/>
  <c r="P95" i="59"/>
  <c r="O95" i="59"/>
  <c r="P94" i="59"/>
  <c r="O94" i="59"/>
  <c r="P93" i="59"/>
  <c r="O93" i="59"/>
  <c r="P92" i="59"/>
  <c r="O92" i="59"/>
  <c r="P91" i="59"/>
  <c r="O91" i="59"/>
  <c r="P90" i="59"/>
  <c r="O90" i="59"/>
  <c r="P89" i="59"/>
  <c r="O89" i="59"/>
  <c r="P88" i="59"/>
  <c r="O88" i="59"/>
  <c r="P87" i="59"/>
  <c r="O87" i="59"/>
  <c r="P86" i="59"/>
  <c r="O86" i="59"/>
  <c r="P85" i="59"/>
  <c r="O85" i="59"/>
  <c r="F81" i="59"/>
  <c r="E134" i="59" s="1"/>
  <c r="J148" i="59" s="1"/>
  <c r="R80" i="59"/>
  <c r="Q80" i="59"/>
  <c r="R79" i="59"/>
  <c r="Q79" i="59"/>
  <c r="R78" i="59"/>
  <c r="Q78" i="59"/>
  <c r="R77" i="59"/>
  <c r="Q77" i="59"/>
  <c r="R76" i="59"/>
  <c r="Q76" i="59"/>
  <c r="R75" i="59"/>
  <c r="Q75" i="59"/>
  <c r="R74" i="59"/>
  <c r="Q74" i="59"/>
  <c r="R73" i="59"/>
  <c r="Q73" i="59"/>
  <c r="R72" i="59"/>
  <c r="Q72" i="59"/>
  <c r="R71" i="59"/>
  <c r="Q71" i="59"/>
  <c r="R70" i="59"/>
  <c r="Q70" i="59"/>
  <c r="Q68" i="59"/>
  <c r="L68" i="59"/>
  <c r="F65" i="59"/>
  <c r="D134" i="59" s="1"/>
  <c r="R148" i="59" s="1"/>
  <c r="R64" i="59"/>
  <c r="Q64" i="59"/>
  <c r="R63" i="59"/>
  <c r="Q63" i="59"/>
  <c r="R62" i="59"/>
  <c r="Q62" i="59"/>
  <c r="R61" i="59"/>
  <c r="Q61" i="59"/>
  <c r="R60" i="59"/>
  <c r="Q60" i="59"/>
  <c r="R59" i="59"/>
  <c r="Q59" i="59"/>
  <c r="R58" i="59"/>
  <c r="Q58" i="59"/>
  <c r="R57" i="59"/>
  <c r="Q57" i="59"/>
  <c r="R56" i="59"/>
  <c r="Q56" i="59"/>
  <c r="R55" i="59"/>
  <c r="Q55" i="59"/>
  <c r="R54" i="59"/>
  <c r="Q54" i="59"/>
  <c r="R50" i="59"/>
  <c r="K50" i="59"/>
  <c r="C134" i="59" s="1"/>
  <c r="I148" i="59" s="1"/>
  <c r="R49" i="59"/>
  <c r="Q49" i="59"/>
  <c r="L49" i="59"/>
  <c r="R48" i="59"/>
  <c r="Q48" i="59"/>
  <c r="L48" i="59"/>
  <c r="R47" i="59"/>
  <c r="Q47" i="59"/>
  <c r="L47" i="59"/>
  <c r="R46" i="59"/>
  <c r="Q46" i="59"/>
  <c r="L46" i="59"/>
  <c r="R45" i="59"/>
  <c r="Q45" i="59"/>
  <c r="L45" i="59"/>
  <c r="R44" i="59"/>
  <c r="Q44" i="59"/>
  <c r="L44" i="59"/>
  <c r="R43" i="59"/>
  <c r="Q43" i="59"/>
  <c r="L43" i="59"/>
  <c r="R42" i="59"/>
  <c r="Q42" i="59"/>
  <c r="L42" i="59"/>
  <c r="R41" i="59"/>
  <c r="Q41" i="59"/>
  <c r="L41" i="59"/>
  <c r="R40" i="59"/>
  <c r="Q40" i="59"/>
  <c r="L40" i="59"/>
  <c r="L50" i="59" s="1"/>
  <c r="M50" i="59" s="1"/>
  <c r="R39" i="59"/>
  <c r="Q39" i="59"/>
  <c r="L39" i="59"/>
  <c r="R38" i="59"/>
  <c r="Q38" i="59"/>
  <c r="L38" i="59"/>
  <c r="R37" i="59"/>
  <c r="Q37" i="59"/>
  <c r="Q50" i="59" s="1"/>
  <c r="L37" i="59"/>
  <c r="L35" i="59"/>
  <c r="I35" i="59"/>
  <c r="K32" i="59"/>
  <c r="B134" i="59" s="1"/>
  <c r="H148" i="59" s="1"/>
  <c r="J32" i="59"/>
  <c r="Q31" i="59"/>
  <c r="N31" i="59" s="1"/>
  <c r="M31" i="59"/>
  <c r="L31" i="59"/>
  <c r="D31" i="59"/>
  <c r="M30" i="59"/>
  <c r="L30" i="59"/>
  <c r="Q30" i="59" s="1"/>
  <c r="N30" i="59" s="1"/>
  <c r="D30" i="59"/>
  <c r="M29" i="59"/>
  <c r="L29" i="59"/>
  <c r="Q29" i="59" s="1"/>
  <c r="N29" i="59" s="1"/>
  <c r="D29" i="59"/>
  <c r="Q28" i="59"/>
  <c r="N28" i="59" s="1"/>
  <c r="M28" i="59"/>
  <c r="L28" i="59"/>
  <c r="D28" i="59"/>
  <c r="M27" i="59"/>
  <c r="L27" i="59"/>
  <c r="Q27" i="59" s="1"/>
  <c r="N27" i="59" s="1"/>
  <c r="D27" i="59"/>
  <c r="M26" i="59"/>
  <c r="L26" i="59"/>
  <c r="Q26" i="59" s="1"/>
  <c r="N26" i="59" s="1"/>
  <c r="D26" i="59"/>
  <c r="Q25" i="59"/>
  <c r="N25" i="59" s="1"/>
  <c r="M25" i="59"/>
  <c r="L25" i="59"/>
  <c r="D25" i="59"/>
  <c r="M24" i="59"/>
  <c r="L24" i="59"/>
  <c r="Q24" i="59" s="1"/>
  <c r="N24" i="59" s="1"/>
  <c r="D24" i="59"/>
  <c r="M23" i="59"/>
  <c r="L23" i="59"/>
  <c r="Q23" i="59" s="1"/>
  <c r="N23" i="59" s="1"/>
  <c r="D23" i="59"/>
  <c r="Q21" i="59"/>
  <c r="N21" i="59" s="1"/>
  <c r="M21" i="59"/>
  <c r="L21" i="59"/>
  <c r="F21" i="59"/>
  <c r="D21" i="59"/>
  <c r="M20" i="59"/>
  <c r="L20" i="59"/>
  <c r="Q20" i="59" s="1"/>
  <c r="N20" i="59" s="1"/>
  <c r="F20" i="59"/>
  <c r="D20" i="59"/>
  <c r="Q19" i="59"/>
  <c r="N19" i="59" s="1"/>
  <c r="M19" i="59"/>
  <c r="L19" i="59"/>
  <c r="F19" i="59"/>
  <c r="D19" i="59"/>
  <c r="Q18" i="59"/>
  <c r="N18" i="59"/>
  <c r="M18" i="59"/>
  <c r="L18" i="59"/>
  <c r="F18" i="59"/>
  <c r="D18" i="59"/>
  <c r="Q17" i="59"/>
  <c r="N17" i="59"/>
  <c r="M17" i="59"/>
  <c r="L17" i="59"/>
  <c r="F17" i="59"/>
  <c r="D17" i="59"/>
  <c r="M16" i="59"/>
  <c r="L16" i="59"/>
  <c r="Q16" i="59" s="1"/>
  <c r="N16" i="59" s="1"/>
  <c r="F16" i="59"/>
  <c r="D16" i="59"/>
  <c r="M15" i="59"/>
  <c r="L15" i="59"/>
  <c r="Q15" i="59" s="1"/>
  <c r="N15" i="59" s="1"/>
  <c r="F15" i="59"/>
  <c r="D15" i="59"/>
  <c r="Q14" i="59"/>
  <c r="N14" i="59"/>
  <c r="M14" i="59"/>
  <c r="L14" i="59"/>
  <c r="F14" i="59"/>
  <c r="D14" i="59"/>
  <c r="Q13" i="59"/>
  <c r="N13" i="59"/>
  <c r="M13" i="59"/>
  <c r="L13" i="59"/>
  <c r="F13" i="59"/>
  <c r="D13" i="59"/>
  <c r="M12" i="59"/>
  <c r="M32" i="59" s="1"/>
  <c r="L12" i="59"/>
  <c r="F12" i="59"/>
  <c r="D12" i="59"/>
  <c r="J8" i="59"/>
  <c r="I8" i="59"/>
  <c r="E148" i="59" s="1"/>
  <c r="H8" i="59"/>
  <c r="D148" i="59" s="1"/>
  <c r="D8" i="59"/>
  <c r="C148" i="59" s="1"/>
  <c r="A8" i="59"/>
  <c r="A148" i="59" s="1"/>
  <c r="H5" i="59"/>
  <c r="K140" i="59" s="1"/>
  <c r="A29" i="50"/>
  <c r="B29" i="50" s="1"/>
  <c r="A28" i="50"/>
  <c r="B28" i="50" s="1"/>
  <c r="A27" i="50"/>
  <c r="B27" i="50" s="1"/>
  <c r="A26" i="50"/>
  <c r="B26" i="50" s="1"/>
  <c r="G148" i="58"/>
  <c r="F148" i="58"/>
  <c r="B148" i="58"/>
  <c r="H134" i="58"/>
  <c r="U148" i="58" s="1"/>
  <c r="F134" i="58"/>
  <c r="K148" i="58" s="1"/>
  <c r="K130" i="58"/>
  <c r="J134" i="58" s="1"/>
  <c r="T148" i="58" s="1"/>
  <c r="F125" i="58"/>
  <c r="I134" i="58" s="1"/>
  <c r="V148" i="58" s="1"/>
  <c r="F119" i="58"/>
  <c r="F113" i="58"/>
  <c r="G134" i="58" s="1"/>
  <c r="S148" i="58" s="1"/>
  <c r="R112" i="58"/>
  <c r="L112" i="58"/>
  <c r="R111" i="58"/>
  <c r="L111" i="58"/>
  <c r="R110" i="58"/>
  <c r="L110" i="58"/>
  <c r="R109" i="58"/>
  <c r="L109" i="58"/>
  <c r="R108" i="58"/>
  <c r="L108" i="58"/>
  <c r="R107" i="58"/>
  <c r="L107" i="58"/>
  <c r="R106" i="58"/>
  <c r="L106" i="58"/>
  <c r="R105" i="58"/>
  <c r="L105" i="58"/>
  <c r="R104" i="58"/>
  <c r="L104" i="58"/>
  <c r="R103" i="58"/>
  <c r="L103" i="58"/>
  <c r="R102" i="58"/>
  <c r="L102" i="58"/>
  <c r="R101" i="58"/>
  <c r="L101" i="58"/>
  <c r="L113" i="58" s="1"/>
  <c r="P97" i="58"/>
  <c r="O97" i="58"/>
  <c r="F97" i="58"/>
  <c r="P96" i="58"/>
  <c r="O96" i="58"/>
  <c r="P95" i="58"/>
  <c r="O95" i="58"/>
  <c r="P94" i="58"/>
  <c r="O94" i="58"/>
  <c r="P93" i="58"/>
  <c r="O93" i="58"/>
  <c r="P92" i="58"/>
  <c r="O92" i="58"/>
  <c r="P91" i="58"/>
  <c r="O91" i="58"/>
  <c r="P90" i="58"/>
  <c r="O90" i="58"/>
  <c r="P89" i="58"/>
  <c r="O89" i="58"/>
  <c r="P88" i="58"/>
  <c r="O88" i="58"/>
  <c r="P87" i="58"/>
  <c r="O87" i="58"/>
  <c r="P86" i="58"/>
  <c r="O86" i="58"/>
  <c r="P85" i="58"/>
  <c r="O85" i="58"/>
  <c r="F81" i="58"/>
  <c r="E134" i="58" s="1"/>
  <c r="J148" i="58" s="1"/>
  <c r="R80" i="58"/>
  <c r="Q80" i="58"/>
  <c r="R79" i="58"/>
  <c r="Q79" i="58"/>
  <c r="R78" i="58"/>
  <c r="Q78" i="58"/>
  <c r="R77" i="58"/>
  <c r="Q77" i="58"/>
  <c r="R76" i="58"/>
  <c r="Q76" i="58"/>
  <c r="R75" i="58"/>
  <c r="Q75" i="58"/>
  <c r="R74" i="58"/>
  <c r="Q74" i="58"/>
  <c r="R73" i="58"/>
  <c r="Q73" i="58"/>
  <c r="R72" i="58"/>
  <c r="Q72" i="58"/>
  <c r="R71" i="58"/>
  <c r="Q71" i="58"/>
  <c r="R70" i="58"/>
  <c r="Q70" i="58"/>
  <c r="Q68" i="58"/>
  <c r="L68" i="58"/>
  <c r="F65" i="58"/>
  <c r="D134" i="58" s="1"/>
  <c r="R148" i="58" s="1"/>
  <c r="R64" i="58"/>
  <c r="Q64" i="58"/>
  <c r="R63" i="58"/>
  <c r="Q63" i="58"/>
  <c r="R62" i="58"/>
  <c r="Q62" i="58"/>
  <c r="R61" i="58"/>
  <c r="Q61" i="58"/>
  <c r="R60" i="58"/>
  <c r="Q60" i="58"/>
  <c r="R59" i="58"/>
  <c r="Q59" i="58"/>
  <c r="R58" i="58"/>
  <c r="Q58" i="58"/>
  <c r="R57" i="58"/>
  <c r="Q57" i="58"/>
  <c r="R56" i="58"/>
  <c r="Q56" i="58"/>
  <c r="R55" i="58"/>
  <c r="Q55" i="58"/>
  <c r="R54" i="58"/>
  <c r="Q54" i="58"/>
  <c r="R50" i="58"/>
  <c r="K50" i="58"/>
  <c r="C134" i="58" s="1"/>
  <c r="I148" i="58" s="1"/>
  <c r="R49" i="58"/>
  <c r="Q49" i="58"/>
  <c r="L49" i="58"/>
  <c r="R48" i="58"/>
  <c r="Q48" i="58"/>
  <c r="L48" i="58"/>
  <c r="R47" i="58"/>
  <c r="Q47" i="58"/>
  <c r="L47" i="58"/>
  <c r="R46" i="58"/>
  <c r="Q46" i="58"/>
  <c r="L46" i="58"/>
  <c r="R45" i="58"/>
  <c r="Q45" i="58"/>
  <c r="L45" i="58"/>
  <c r="R44" i="58"/>
  <c r="Q44" i="58"/>
  <c r="L44" i="58"/>
  <c r="R43" i="58"/>
  <c r="Q43" i="58"/>
  <c r="L43" i="58"/>
  <c r="R42" i="58"/>
  <c r="Q42" i="58"/>
  <c r="L42" i="58"/>
  <c r="R41" i="58"/>
  <c r="Q41" i="58"/>
  <c r="L41" i="58"/>
  <c r="R40" i="58"/>
  <c r="Q40" i="58"/>
  <c r="L40" i="58"/>
  <c r="R39" i="58"/>
  <c r="Q39" i="58"/>
  <c r="L39" i="58"/>
  <c r="R38" i="58"/>
  <c r="Q38" i="58"/>
  <c r="L38" i="58"/>
  <c r="R37" i="58"/>
  <c r="Q37" i="58"/>
  <c r="Q50" i="58" s="1"/>
  <c r="L37" i="58"/>
  <c r="L50" i="58" s="1"/>
  <c r="M50" i="58" s="1"/>
  <c r="L35" i="58"/>
  <c r="I35" i="58"/>
  <c r="K32" i="58"/>
  <c r="B134" i="58" s="1"/>
  <c r="H148" i="58" s="1"/>
  <c r="J32" i="58"/>
  <c r="Q31" i="58"/>
  <c r="N31" i="58"/>
  <c r="M31" i="58"/>
  <c r="L31" i="58"/>
  <c r="D31" i="58"/>
  <c r="M30" i="58"/>
  <c r="L30" i="58"/>
  <c r="Q30" i="58" s="1"/>
  <c r="N30" i="58" s="1"/>
  <c r="D30" i="58"/>
  <c r="M29" i="58"/>
  <c r="L29" i="58"/>
  <c r="Q29" i="58" s="1"/>
  <c r="N29" i="58" s="1"/>
  <c r="D29" i="58"/>
  <c r="Q28" i="58"/>
  <c r="N28" i="58"/>
  <c r="M28" i="58"/>
  <c r="L28" i="58"/>
  <c r="D28" i="58"/>
  <c r="M27" i="58"/>
  <c r="L27" i="58"/>
  <c r="Q27" i="58" s="1"/>
  <c r="N27" i="58" s="1"/>
  <c r="D27" i="58"/>
  <c r="M26" i="58"/>
  <c r="L26" i="58"/>
  <c r="Q26" i="58" s="1"/>
  <c r="N26" i="58" s="1"/>
  <c r="D26" i="58"/>
  <c r="Q25" i="58"/>
  <c r="N25" i="58"/>
  <c r="M25" i="58"/>
  <c r="L25" i="58"/>
  <c r="D25" i="58"/>
  <c r="M24" i="58"/>
  <c r="L24" i="58"/>
  <c r="Q24" i="58" s="1"/>
  <c r="N24" i="58" s="1"/>
  <c r="D24" i="58"/>
  <c r="M23" i="58"/>
  <c r="L23" i="58"/>
  <c r="Q23" i="58" s="1"/>
  <c r="N23" i="58" s="1"/>
  <c r="D23" i="58"/>
  <c r="Q21" i="58"/>
  <c r="N21" i="58"/>
  <c r="M21" i="58"/>
  <c r="L21" i="58"/>
  <c r="F21" i="58"/>
  <c r="D21" i="58"/>
  <c r="M20" i="58"/>
  <c r="L20" i="58"/>
  <c r="Q20" i="58" s="1"/>
  <c r="N20" i="58" s="1"/>
  <c r="F20" i="58"/>
  <c r="D20" i="58"/>
  <c r="Q19" i="58"/>
  <c r="N19" i="58" s="1"/>
  <c r="M19" i="58"/>
  <c r="L19" i="58"/>
  <c r="F19" i="58"/>
  <c r="D19" i="58"/>
  <c r="Q18" i="58"/>
  <c r="N18" i="58" s="1"/>
  <c r="M18" i="58"/>
  <c r="L18" i="58"/>
  <c r="F18" i="58"/>
  <c r="D18" i="58"/>
  <c r="Q17" i="58"/>
  <c r="N17" i="58"/>
  <c r="M17" i="58"/>
  <c r="L17" i="58"/>
  <c r="F17" i="58"/>
  <c r="D17" i="58"/>
  <c r="Q16" i="58"/>
  <c r="N16" i="58" s="1"/>
  <c r="M16" i="58"/>
  <c r="L16" i="58"/>
  <c r="F16" i="58"/>
  <c r="D16" i="58"/>
  <c r="Q15" i="58"/>
  <c r="N15" i="58" s="1"/>
  <c r="M15" i="58"/>
  <c r="L15" i="58"/>
  <c r="F15" i="58"/>
  <c r="D15" i="58"/>
  <c r="Q14" i="58"/>
  <c r="N14" i="58" s="1"/>
  <c r="M14" i="58"/>
  <c r="L14" i="58"/>
  <c r="F14" i="58"/>
  <c r="D14" i="58"/>
  <c r="Q13" i="58"/>
  <c r="N13" i="58"/>
  <c r="M13" i="58"/>
  <c r="L13" i="58"/>
  <c r="F13" i="58"/>
  <c r="D13" i="58"/>
  <c r="Q12" i="58"/>
  <c r="N12" i="58" s="1"/>
  <c r="M12" i="58"/>
  <c r="M32" i="58" s="1"/>
  <c r="L12" i="58"/>
  <c r="L32" i="58" s="1"/>
  <c r="F12" i="58"/>
  <c r="D12" i="58"/>
  <c r="J8" i="58"/>
  <c r="I8" i="58"/>
  <c r="E148" i="58" s="1"/>
  <c r="H8" i="58"/>
  <c r="D148" i="58" s="1"/>
  <c r="D8" i="58"/>
  <c r="C148" i="58" s="1"/>
  <c r="A8" i="58"/>
  <c r="A148" i="58" s="1"/>
  <c r="H5" i="58"/>
  <c r="K140" i="58" s="1"/>
  <c r="G148" i="57"/>
  <c r="F148" i="57"/>
  <c r="B148" i="57"/>
  <c r="J134" i="57"/>
  <c r="T148" i="57" s="1"/>
  <c r="H134" i="57"/>
  <c r="U148" i="57" s="1"/>
  <c r="G134" i="57"/>
  <c r="S148" i="57" s="1"/>
  <c r="F134" i="57"/>
  <c r="K148" i="57" s="1"/>
  <c r="K130" i="57"/>
  <c r="F125" i="57"/>
  <c r="I134" i="57" s="1"/>
  <c r="V148" i="57" s="1"/>
  <c r="F119" i="57"/>
  <c r="F113" i="57"/>
  <c r="R112" i="57"/>
  <c r="L112" i="57"/>
  <c r="R111" i="57"/>
  <c r="L111" i="57"/>
  <c r="R110" i="57"/>
  <c r="L110" i="57"/>
  <c r="R109" i="57"/>
  <c r="L109" i="57"/>
  <c r="R108" i="57"/>
  <c r="L108" i="57"/>
  <c r="R107" i="57"/>
  <c r="L107" i="57"/>
  <c r="R106" i="57"/>
  <c r="L106" i="57"/>
  <c r="R105" i="57"/>
  <c r="L105" i="57"/>
  <c r="R104" i="57"/>
  <c r="L104" i="57"/>
  <c r="R103" i="57"/>
  <c r="L103" i="57"/>
  <c r="R102" i="57"/>
  <c r="L102" i="57"/>
  <c r="R101" i="57"/>
  <c r="L101" i="57"/>
  <c r="L113" i="57" s="1"/>
  <c r="P97" i="57"/>
  <c r="O97" i="57"/>
  <c r="F97" i="57"/>
  <c r="P96" i="57"/>
  <c r="O96" i="57"/>
  <c r="P95" i="57"/>
  <c r="O95" i="57"/>
  <c r="P94" i="57"/>
  <c r="O94" i="57"/>
  <c r="P93" i="57"/>
  <c r="O93" i="57"/>
  <c r="P92" i="57"/>
  <c r="O92" i="57"/>
  <c r="P91" i="57"/>
  <c r="O91" i="57"/>
  <c r="P90" i="57"/>
  <c r="O90" i="57"/>
  <c r="P89" i="57"/>
  <c r="O89" i="57"/>
  <c r="P88" i="57"/>
  <c r="O88" i="57"/>
  <c r="P87" i="57"/>
  <c r="O87" i="57"/>
  <c r="P86" i="57"/>
  <c r="O86" i="57"/>
  <c r="P85" i="57"/>
  <c r="O85" i="57"/>
  <c r="F81" i="57"/>
  <c r="E134" i="57" s="1"/>
  <c r="J148" i="57" s="1"/>
  <c r="R80" i="57"/>
  <c r="Q80" i="57"/>
  <c r="R79" i="57"/>
  <c r="Q79" i="57"/>
  <c r="R78" i="57"/>
  <c r="Q78" i="57"/>
  <c r="R77" i="57"/>
  <c r="Q77" i="57"/>
  <c r="R76" i="57"/>
  <c r="Q76" i="57"/>
  <c r="R75" i="57"/>
  <c r="Q75" i="57"/>
  <c r="R74" i="57"/>
  <c r="Q74" i="57"/>
  <c r="R73" i="57"/>
  <c r="Q73" i="57"/>
  <c r="R72" i="57"/>
  <c r="Q72" i="57"/>
  <c r="R71" i="57"/>
  <c r="Q71" i="57"/>
  <c r="R70" i="57"/>
  <c r="Q70" i="57"/>
  <c r="Q68" i="57"/>
  <c r="L68" i="57"/>
  <c r="F65" i="57"/>
  <c r="D134" i="57" s="1"/>
  <c r="R148" i="57" s="1"/>
  <c r="R64" i="57"/>
  <c r="Q64" i="57"/>
  <c r="R63" i="57"/>
  <c r="Q63" i="57"/>
  <c r="R62" i="57"/>
  <c r="Q62" i="57"/>
  <c r="R61" i="57"/>
  <c r="Q61" i="57"/>
  <c r="R60" i="57"/>
  <c r="Q60" i="57"/>
  <c r="R59" i="57"/>
  <c r="Q59" i="57"/>
  <c r="R58" i="57"/>
  <c r="Q58" i="57"/>
  <c r="R57" i="57"/>
  <c r="Q57" i="57"/>
  <c r="R56" i="57"/>
  <c r="Q56" i="57"/>
  <c r="R55" i="57"/>
  <c r="Q55" i="57"/>
  <c r="R54" i="57"/>
  <c r="Q54" i="57"/>
  <c r="K50" i="57"/>
  <c r="C134" i="57" s="1"/>
  <c r="I148" i="57" s="1"/>
  <c r="R49" i="57"/>
  <c r="Q49" i="57"/>
  <c r="L49" i="57"/>
  <c r="R48" i="57"/>
  <c r="Q48" i="57"/>
  <c r="L48" i="57"/>
  <c r="R47" i="57"/>
  <c r="Q47" i="57"/>
  <c r="L47" i="57"/>
  <c r="R46" i="57"/>
  <c r="Q46" i="57"/>
  <c r="L46" i="57"/>
  <c r="R45" i="57"/>
  <c r="Q45" i="57"/>
  <c r="L45" i="57"/>
  <c r="R44" i="57"/>
  <c r="Q44" i="57"/>
  <c r="L44" i="57"/>
  <c r="R43" i="57"/>
  <c r="Q43" i="57"/>
  <c r="L43" i="57"/>
  <c r="R42" i="57"/>
  <c r="Q42" i="57"/>
  <c r="L42" i="57"/>
  <c r="R41" i="57"/>
  <c r="Q41" i="57"/>
  <c r="L41" i="57"/>
  <c r="R40" i="57"/>
  <c r="Q40" i="57"/>
  <c r="L40" i="57"/>
  <c r="R39" i="57"/>
  <c r="Q39" i="57"/>
  <c r="L39" i="57"/>
  <c r="R38" i="57"/>
  <c r="Q38" i="57"/>
  <c r="L38" i="57"/>
  <c r="R37" i="57"/>
  <c r="R50" i="57" s="1"/>
  <c r="Q37" i="57"/>
  <c r="Q50" i="57" s="1"/>
  <c r="L37" i="57"/>
  <c r="L50" i="57" s="1"/>
  <c r="M50" i="57" s="1"/>
  <c r="L35" i="57"/>
  <c r="I35" i="57"/>
  <c r="K32" i="57"/>
  <c r="B134" i="57" s="1"/>
  <c r="H148" i="57" s="1"/>
  <c r="J32" i="57"/>
  <c r="Q31" i="57"/>
  <c r="N31" i="57" s="1"/>
  <c r="M31" i="57"/>
  <c r="L31" i="57"/>
  <c r="D31" i="57"/>
  <c r="M30" i="57"/>
  <c r="L30" i="57"/>
  <c r="Q30" i="57" s="1"/>
  <c r="N30" i="57" s="1"/>
  <c r="D30" i="57"/>
  <c r="M29" i="57"/>
  <c r="L29" i="57"/>
  <c r="Q29" i="57" s="1"/>
  <c r="N29" i="57" s="1"/>
  <c r="D29" i="57"/>
  <c r="Q28" i="57"/>
  <c r="N28" i="57" s="1"/>
  <c r="M28" i="57"/>
  <c r="L28" i="57"/>
  <c r="D28" i="57"/>
  <c r="M27" i="57"/>
  <c r="L27" i="57"/>
  <c r="Q27" i="57" s="1"/>
  <c r="N27" i="57" s="1"/>
  <c r="D27" i="57"/>
  <c r="M26" i="57"/>
  <c r="L26" i="57"/>
  <c r="Q26" i="57" s="1"/>
  <c r="N26" i="57" s="1"/>
  <c r="D26" i="57"/>
  <c r="Q25" i="57"/>
  <c r="N25" i="57" s="1"/>
  <c r="M25" i="57"/>
  <c r="L25" i="57"/>
  <c r="D25" i="57"/>
  <c r="M24" i="57"/>
  <c r="L24" i="57"/>
  <c r="Q24" i="57" s="1"/>
  <c r="N24" i="57" s="1"/>
  <c r="D24" i="57"/>
  <c r="M23" i="57"/>
  <c r="L23" i="57"/>
  <c r="Q23" i="57" s="1"/>
  <c r="N23" i="57" s="1"/>
  <c r="D23" i="57"/>
  <c r="Q21" i="57"/>
  <c r="N21" i="57" s="1"/>
  <c r="M21" i="57"/>
  <c r="L21" i="57"/>
  <c r="F21" i="57"/>
  <c r="D21" i="57"/>
  <c r="M20" i="57"/>
  <c r="L20" i="57"/>
  <c r="Q20" i="57" s="1"/>
  <c r="N20" i="57" s="1"/>
  <c r="F20" i="57"/>
  <c r="D20" i="57"/>
  <c r="M19" i="57"/>
  <c r="L19" i="57"/>
  <c r="Q19" i="57" s="1"/>
  <c r="N19" i="57" s="1"/>
  <c r="F19" i="57"/>
  <c r="D19" i="57"/>
  <c r="Q18" i="57"/>
  <c r="N18" i="57"/>
  <c r="M18" i="57"/>
  <c r="L18" i="57"/>
  <c r="F18" i="57"/>
  <c r="D18" i="57"/>
  <c r="Q17" i="57"/>
  <c r="N17" i="57" s="1"/>
  <c r="M17" i="57"/>
  <c r="L17" i="57"/>
  <c r="F17" i="57"/>
  <c r="D17" i="57"/>
  <c r="M16" i="57"/>
  <c r="L16" i="57"/>
  <c r="Q16" i="57" s="1"/>
  <c r="N16" i="57" s="1"/>
  <c r="F16" i="57"/>
  <c r="D16" i="57"/>
  <c r="M15" i="57"/>
  <c r="L15" i="57"/>
  <c r="Q15" i="57" s="1"/>
  <c r="N15" i="57" s="1"/>
  <c r="F15" i="57"/>
  <c r="D15" i="57"/>
  <c r="Q14" i="57"/>
  <c r="N14" i="57" s="1"/>
  <c r="M14" i="57"/>
  <c r="L14" i="57"/>
  <c r="F14" i="57"/>
  <c r="D14" i="57"/>
  <c r="Q13" i="57"/>
  <c r="N13" i="57" s="1"/>
  <c r="M13" i="57"/>
  <c r="L13" i="57"/>
  <c r="F13" i="57"/>
  <c r="D13" i="57"/>
  <c r="M12" i="57"/>
  <c r="M32" i="57" s="1"/>
  <c r="L12" i="57"/>
  <c r="L32" i="57" s="1"/>
  <c r="F12" i="57"/>
  <c r="D12" i="57"/>
  <c r="J8" i="57"/>
  <c r="I8" i="57"/>
  <c r="E148" i="57" s="1"/>
  <c r="H8" i="57"/>
  <c r="D148" i="57" s="1"/>
  <c r="D8" i="57"/>
  <c r="C148" i="57" s="1"/>
  <c r="A8" i="57"/>
  <c r="A148" i="57" s="1"/>
  <c r="H5" i="57"/>
  <c r="K140" i="57" s="1"/>
  <c r="T148" i="56"/>
  <c r="G148" i="56"/>
  <c r="F148" i="56"/>
  <c r="B148" i="56"/>
  <c r="J134" i="56"/>
  <c r="I134" i="56"/>
  <c r="V148" i="56" s="1"/>
  <c r="H134" i="56"/>
  <c r="U148" i="56" s="1"/>
  <c r="F134" i="56"/>
  <c r="K148" i="56" s="1"/>
  <c r="K130" i="56"/>
  <c r="F125" i="56"/>
  <c r="F119" i="56"/>
  <c r="L113" i="56"/>
  <c r="M35" i="56" s="1"/>
  <c r="F113" i="56"/>
  <c r="G134" i="56" s="1"/>
  <c r="S148" i="56" s="1"/>
  <c r="R112" i="56"/>
  <c r="L112" i="56"/>
  <c r="R111" i="56"/>
  <c r="L111" i="56"/>
  <c r="R110" i="56"/>
  <c r="L110" i="56"/>
  <c r="R109" i="56"/>
  <c r="L109" i="56"/>
  <c r="R108" i="56"/>
  <c r="L108" i="56"/>
  <c r="R107" i="56"/>
  <c r="L107" i="56"/>
  <c r="R106" i="56"/>
  <c r="L106" i="56"/>
  <c r="R105" i="56"/>
  <c r="L105" i="56"/>
  <c r="R104" i="56"/>
  <c r="L104" i="56"/>
  <c r="R103" i="56"/>
  <c r="L103" i="56"/>
  <c r="R102" i="56"/>
  <c r="L102" i="56"/>
  <c r="R101" i="56"/>
  <c r="L101" i="56"/>
  <c r="P97" i="56"/>
  <c r="O97" i="56"/>
  <c r="F97" i="56"/>
  <c r="P96" i="56"/>
  <c r="O96" i="56"/>
  <c r="P95" i="56"/>
  <c r="O95" i="56"/>
  <c r="P94" i="56"/>
  <c r="O94" i="56"/>
  <c r="P93" i="56"/>
  <c r="O93" i="56"/>
  <c r="P92" i="56"/>
  <c r="O92" i="56"/>
  <c r="P91" i="56"/>
  <c r="O91" i="56"/>
  <c r="P90" i="56"/>
  <c r="O90" i="56"/>
  <c r="P89" i="56"/>
  <c r="O89" i="56"/>
  <c r="P88" i="56"/>
  <c r="O88" i="56"/>
  <c r="P87" i="56"/>
  <c r="O87" i="56"/>
  <c r="P86" i="56"/>
  <c r="O86" i="56"/>
  <c r="P85" i="56"/>
  <c r="O85" i="56"/>
  <c r="F81" i="56"/>
  <c r="E134" i="56" s="1"/>
  <c r="J148" i="56" s="1"/>
  <c r="R80" i="56"/>
  <c r="Q80" i="56"/>
  <c r="R79" i="56"/>
  <c r="Q79" i="56"/>
  <c r="R78" i="56"/>
  <c r="Q78" i="56"/>
  <c r="R77" i="56"/>
  <c r="Q77" i="56"/>
  <c r="R76" i="56"/>
  <c r="Q76" i="56"/>
  <c r="R75" i="56"/>
  <c r="Q75" i="56"/>
  <c r="R74" i="56"/>
  <c r="Q74" i="56"/>
  <c r="R73" i="56"/>
  <c r="Q73" i="56"/>
  <c r="R72" i="56"/>
  <c r="Q72" i="56"/>
  <c r="R71" i="56"/>
  <c r="Q71" i="56"/>
  <c r="R70" i="56"/>
  <c r="Q70" i="56"/>
  <c r="Q68" i="56"/>
  <c r="L68" i="56"/>
  <c r="F65" i="56"/>
  <c r="D134" i="56" s="1"/>
  <c r="R148" i="56" s="1"/>
  <c r="R64" i="56"/>
  <c r="Q64" i="56"/>
  <c r="R63" i="56"/>
  <c r="Q63" i="56"/>
  <c r="R62" i="56"/>
  <c r="Q62" i="56"/>
  <c r="R61" i="56"/>
  <c r="Q61" i="56"/>
  <c r="R60" i="56"/>
  <c r="Q60" i="56"/>
  <c r="R59" i="56"/>
  <c r="Q59" i="56"/>
  <c r="R58" i="56"/>
  <c r="Q58" i="56"/>
  <c r="R57" i="56"/>
  <c r="Q57" i="56"/>
  <c r="R56" i="56"/>
  <c r="Q56" i="56"/>
  <c r="R55" i="56"/>
  <c r="Q55" i="56"/>
  <c r="R54" i="56"/>
  <c r="Q54" i="56"/>
  <c r="Q50" i="56"/>
  <c r="K50" i="56"/>
  <c r="C134" i="56" s="1"/>
  <c r="I148" i="56" s="1"/>
  <c r="R49" i="56"/>
  <c r="Q49" i="56"/>
  <c r="L49" i="56"/>
  <c r="R48" i="56"/>
  <c r="Q48" i="56"/>
  <c r="L48" i="56"/>
  <c r="R47" i="56"/>
  <c r="Q47" i="56"/>
  <c r="L47" i="56"/>
  <c r="R46" i="56"/>
  <c r="Q46" i="56"/>
  <c r="L46" i="56"/>
  <c r="R45" i="56"/>
  <c r="Q45" i="56"/>
  <c r="L45" i="56"/>
  <c r="R44" i="56"/>
  <c r="Q44" i="56"/>
  <c r="L44" i="56"/>
  <c r="R43" i="56"/>
  <c r="Q43" i="56"/>
  <c r="L43" i="56"/>
  <c r="R42" i="56"/>
  <c r="Q42" i="56"/>
  <c r="L42" i="56"/>
  <c r="R41" i="56"/>
  <c r="Q41" i="56"/>
  <c r="L41" i="56"/>
  <c r="R40" i="56"/>
  <c r="Q40" i="56"/>
  <c r="L40" i="56"/>
  <c r="R39" i="56"/>
  <c r="Q39" i="56"/>
  <c r="L39" i="56"/>
  <c r="R38" i="56"/>
  <c r="Q38" i="56"/>
  <c r="L38" i="56"/>
  <c r="R37" i="56"/>
  <c r="R50" i="56" s="1"/>
  <c r="Q37" i="56"/>
  <c r="L37" i="56"/>
  <c r="L50" i="56" s="1"/>
  <c r="M50" i="56" s="1"/>
  <c r="L35" i="56"/>
  <c r="I35" i="56"/>
  <c r="K32" i="56"/>
  <c r="B134" i="56" s="1"/>
  <c r="H148" i="56" s="1"/>
  <c r="J32" i="56"/>
  <c r="M31" i="56"/>
  <c r="L31" i="56"/>
  <c r="Q31" i="56" s="1"/>
  <c r="N31" i="56" s="1"/>
  <c r="D31" i="56"/>
  <c r="M30" i="56"/>
  <c r="L30" i="56"/>
  <c r="Q30" i="56" s="1"/>
  <c r="N30" i="56" s="1"/>
  <c r="D30" i="56"/>
  <c r="Q29" i="56"/>
  <c r="N29" i="56" s="1"/>
  <c r="M29" i="56"/>
  <c r="L29" i="56"/>
  <c r="D29" i="56"/>
  <c r="M28" i="56"/>
  <c r="L28" i="56"/>
  <c r="Q28" i="56" s="1"/>
  <c r="N28" i="56" s="1"/>
  <c r="D28" i="56"/>
  <c r="M27" i="56"/>
  <c r="L27" i="56"/>
  <c r="Q27" i="56" s="1"/>
  <c r="N27" i="56" s="1"/>
  <c r="D27" i="56"/>
  <c r="Q26" i="56"/>
  <c r="N26" i="56" s="1"/>
  <c r="M26" i="56"/>
  <c r="L26" i="56"/>
  <c r="D26" i="56"/>
  <c r="M25" i="56"/>
  <c r="L25" i="56"/>
  <c r="Q25" i="56" s="1"/>
  <c r="N25" i="56" s="1"/>
  <c r="D25" i="56"/>
  <c r="M24" i="56"/>
  <c r="L24" i="56"/>
  <c r="Q24" i="56" s="1"/>
  <c r="N24" i="56" s="1"/>
  <c r="D24" i="56"/>
  <c r="Q23" i="56"/>
  <c r="N23" i="56" s="1"/>
  <c r="M23" i="56"/>
  <c r="L23" i="56"/>
  <c r="D23" i="56"/>
  <c r="M21" i="56"/>
  <c r="L21" i="56"/>
  <c r="Q21" i="56" s="1"/>
  <c r="N21" i="56" s="1"/>
  <c r="F21" i="56"/>
  <c r="D21" i="56"/>
  <c r="M20" i="56"/>
  <c r="L20" i="56"/>
  <c r="Q20" i="56" s="1"/>
  <c r="N20" i="56" s="1"/>
  <c r="F20" i="56"/>
  <c r="D20" i="56"/>
  <c r="Q19" i="56"/>
  <c r="N19" i="56" s="1"/>
  <c r="M19" i="56"/>
  <c r="L19" i="56"/>
  <c r="F19" i="56"/>
  <c r="D19" i="56"/>
  <c r="Q18" i="56"/>
  <c r="N18" i="56"/>
  <c r="M18" i="56"/>
  <c r="L18" i="56"/>
  <c r="F18" i="56"/>
  <c r="D18" i="56"/>
  <c r="Q17" i="56"/>
  <c r="N17" i="56"/>
  <c r="M17" i="56"/>
  <c r="L17" i="56"/>
  <c r="F17" i="56"/>
  <c r="D17" i="56"/>
  <c r="M16" i="56"/>
  <c r="L16" i="56"/>
  <c r="Q16" i="56" s="1"/>
  <c r="N16" i="56" s="1"/>
  <c r="F16" i="56"/>
  <c r="D16" i="56"/>
  <c r="Q15" i="56"/>
  <c r="N15" i="56" s="1"/>
  <c r="M15" i="56"/>
  <c r="L15" i="56"/>
  <c r="F15" i="56"/>
  <c r="D15" i="56"/>
  <c r="Q14" i="56"/>
  <c r="N14" i="56"/>
  <c r="M14" i="56"/>
  <c r="L14" i="56"/>
  <c r="F14" i="56"/>
  <c r="D14" i="56"/>
  <c r="Q13" i="56"/>
  <c r="N13" i="56"/>
  <c r="M13" i="56"/>
  <c r="L13" i="56"/>
  <c r="F13" i="56"/>
  <c r="D13" i="56"/>
  <c r="Q12" i="56"/>
  <c r="N12" i="56" s="1"/>
  <c r="M12" i="56"/>
  <c r="M32" i="56" s="1"/>
  <c r="L12" i="56"/>
  <c r="L32" i="56" s="1"/>
  <c r="F12" i="56"/>
  <c r="D12" i="56"/>
  <c r="J8" i="56"/>
  <c r="I8" i="56"/>
  <c r="E148" i="56" s="1"/>
  <c r="H8" i="56"/>
  <c r="D148" i="56" s="1"/>
  <c r="D8" i="56"/>
  <c r="C148" i="56" s="1"/>
  <c r="A8" i="56"/>
  <c r="A148" i="56" s="1"/>
  <c r="H5" i="56"/>
  <c r="K140" i="56" s="1"/>
  <c r="G148" i="55"/>
  <c r="F148" i="55"/>
  <c r="B148" i="55"/>
  <c r="H134" i="55"/>
  <c r="U148" i="55" s="1"/>
  <c r="F134" i="55"/>
  <c r="K148" i="55" s="1"/>
  <c r="K130" i="55"/>
  <c r="J134" i="55" s="1"/>
  <c r="T148" i="55" s="1"/>
  <c r="F125" i="55"/>
  <c r="I134" i="55" s="1"/>
  <c r="V148" i="55" s="1"/>
  <c r="F119" i="55"/>
  <c r="F113" i="55"/>
  <c r="G134" i="55" s="1"/>
  <c r="S148" i="55" s="1"/>
  <c r="R112" i="55"/>
  <c r="L112" i="55"/>
  <c r="R111" i="55"/>
  <c r="L111" i="55"/>
  <c r="R110" i="55"/>
  <c r="L110" i="55"/>
  <c r="R109" i="55"/>
  <c r="L109" i="55"/>
  <c r="R108" i="55"/>
  <c r="L108" i="55"/>
  <c r="R107" i="55"/>
  <c r="L107" i="55"/>
  <c r="R106" i="55"/>
  <c r="L106" i="55"/>
  <c r="R105" i="55"/>
  <c r="L105" i="55"/>
  <c r="R104" i="55"/>
  <c r="L104" i="55"/>
  <c r="R103" i="55"/>
  <c r="L103" i="55"/>
  <c r="R102" i="55"/>
  <c r="L102" i="55"/>
  <c r="R101" i="55"/>
  <c r="L101" i="55"/>
  <c r="L113" i="55" s="1"/>
  <c r="M35" i="55" s="1"/>
  <c r="P97" i="55"/>
  <c r="O97" i="55"/>
  <c r="F97" i="55"/>
  <c r="P96" i="55"/>
  <c r="O96" i="55"/>
  <c r="P95" i="55"/>
  <c r="O95" i="55"/>
  <c r="P94" i="55"/>
  <c r="O94" i="55"/>
  <c r="P93" i="55"/>
  <c r="O93" i="55"/>
  <c r="P92" i="55"/>
  <c r="O92" i="55"/>
  <c r="P91" i="55"/>
  <c r="O91" i="55"/>
  <c r="P90" i="55"/>
  <c r="O90" i="55"/>
  <c r="P89" i="55"/>
  <c r="O89" i="55"/>
  <c r="P88" i="55"/>
  <c r="O88" i="55"/>
  <c r="P87" i="55"/>
  <c r="O87" i="55"/>
  <c r="P86" i="55"/>
  <c r="O86" i="55"/>
  <c r="P85" i="55"/>
  <c r="O85" i="55"/>
  <c r="F81" i="55"/>
  <c r="E134" i="55" s="1"/>
  <c r="J148" i="55" s="1"/>
  <c r="R80" i="55"/>
  <c r="Q80" i="55"/>
  <c r="R79" i="55"/>
  <c r="Q79" i="55"/>
  <c r="R78" i="55"/>
  <c r="Q78" i="55"/>
  <c r="R77" i="55"/>
  <c r="Q77" i="55"/>
  <c r="R76" i="55"/>
  <c r="Q76" i="55"/>
  <c r="R75" i="55"/>
  <c r="Q75" i="55"/>
  <c r="R74" i="55"/>
  <c r="Q74" i="55"/>
  <c r="R73" i="55"/>
  <c r="Q73" i="55"/>
  <c r="R72" i="55"/>
  <c r="Q72" i="55"/>
  <c r="R71" i="55"/>
  <c r="Q71" i="55"/>
  <c r="R70" i="55"/>
  <c r="Q70" i="55"/>
  <c r="Q68" i="55"/>
  <c r="L68" i="55"/>
  <c r="F65" i="55"/>
  <c r="D134" i="55" s="1"/>
  <c r="R148" i="55" s="1"/>
  <c r="R64" i="55"/>
  <c r="Q64" i="55"/>
  <c r="R63" i="55"/>
  <c r="Q63" i="55"/>
  <c r="R62" i="55"/>
  <c r="Q62" i="55"/>
  <c r="R61" i="55"/>
  <c r="Q61" i="55"/>
  <c r="R60" i="55"/>
  <c r="Q60" i="55"/>
  <c r="R59" i="55"/>
  <c r="Q59" i="55"/>
  <c r="R58" i="55"/>
  <c r="Q58" i="55"/>
  <c r="R57" i="55"/>
  <c r="Q57" i="55"/>
  <c r="R56" i="55"/>
  <c r="Q56" i="55"/>
  <c r="R55" i="55"/>
  <c r="Q55" i="55"/>
  <c r="R54" i="55"/>
  <c r="Q54" i="55"/>
  <c r="K50" i="55"/>
  <c r="C134" i="55" s="1"/>
  <c r="I148" i="55" s="1"/>
  <c r="R49" i="55"/>
  <c r="Q49" i="55"/>
  <c r="L49" i="55"/>
  <c r="R48" i="55"/>
  <c r="Q48" i="55"/>
  <c r="L48" i="55"/>
  <c r="R47" i="55"/>
  <c r="Q47" i="55"/>
  <c r="L47" i="55"/>
  <c r="R46" i="55"/>
  <c r="Q46" i="55"/>
  <c r="L46" i="55"/>
  <c r="R45" i="55"/>
  <c r="Q45" i="55"/>
  <c r="L45" i="55"/>
  <c r="R44" i="55"/>
  <c r="Q44" i="55"/>
  <c r="L44" i="55"/>
  <c r="R43" i="55"/>
  <c r="Q43" i="55"/>
  <c r="L43" i="55"/>
  <c r="R42" i="55"/>
  <c r="Q42" i="55"/>
  <c r="L42" i="55"/>
  <c r="R41" i="55"/>
  <c r="Q41" i="55"/>
  <c r="L41" i="55"/>
  <c r="R40" i="55"/>
  <c r="Q40" i="55"/>
  <c r="L40" i="55"/>
  <c r="R39" i="55"/>
  <c r="Q39" i="55"/>
  <c r="L39" i="55"/>
  <c r="R38" i="55"/>
  <c r="Q38" i="55"/>
  <c r="L38" i="55"/>
  <c r="R37" i="55"/>
  <c r="R50" i="55" s="1"/>
  <c r="Q37" i="55"/>
  <c r="Q50" i="55" s="1"/>
  <c r="L37" i="55"/>
  <c r="L50" i="55" s="1"/>
  <c r="M50" i="55" s="1"/>
  <c r="L35" i="55"/>
  <c r="I35" i="55"/>
  <c r="K32" i="55"/>
  <c r="B134" i="55" s="1"/>
  <c r="H148" i="55" s="1"/>
  <c r="J32" i="55"/>
  <c r="M31" i="55"/>
  <c r="L31" i="55"/>
  <c r="Q31" i="55" s="1"/>
  <c r="N31" i="55" s="1"/>
  <c r="D31" i="55"/>
  <c r="Q30" i="55"/>
  <c r="N30" i="55" s="1"/>
  <c r="M30" i="55"/>
  <c r="L30" i="55"/>
  <c r="D30" i="55"/>
  <c r="M29" i="55"/>
  <c r="L29" i="55"/>
  <c r="Q29" i="55" s="1"/>
  <c r="N29" i="55" s="1"/>
  <c r="D29" i="55"/>
  <c r="M28" i="55"/>
  <c r="L28" i="55"/>
  <c r="Q28" i="55" s="1"/>
  <c r="N28" i="55" s="1"/>
  <c r="D28" i="55"/>
  <c r="Q27" i="55"/>
  <c r="N27" i="55" s="1"/>
  <c r="M27" i="55"/>
  <c r="L27" i="55"/>
  <c r="D27" i="55"/>
  <c r="M26" i="55"/>
  <c r="L26" i="55"/>
  <c r="Q26" i="55" s="1"/>
  <c r="N26" i="55" s="1"/>
  <c r="D26" i="55"/>
  <c r="M25" i="55"/>
  <c r="L25" i="55"/>
  <c r="Q25" i="55" s="1"/>
  <c r="N25" i="55" s="1"/>
  <c r="D25" i="55"/>
  <c r="Q24" i="55"/>
  <c r="N24" i="55" s="1"/>
  <c r="M24" i="55"/>
  <c r="L24" i="55"/>
  <c r="D24" i="55"/>
  <c r="M23" i="55"/>
  <c r="L23" i="55"/>
  <c r="Q23" i="55" s="1"/>
  <c r="N23" i="55" s="1"/>
  <c r="D23" i="55"/>
  <c r="M21" i="55"/>
  <c r="L21" i="55"/>
  <c r="Q21" i="55" s="1"/>
  <c r="N21" i="55" s="1"/>
  <c r="F21" i="55"/>
  <c r="D21" i="55"/>
  <c r="M20" i="55"/>
  <c r="L20" i="55"/>
  <c r="Q20" i="55" s="1"/>
  <c r="N20" i="55" s="1"/>
  <c r="F20" i="55"/>
  <c r="D20" i="55"/>
  <c r="Q19" i="55"/>
  <c r="N19" i="55" s="1"/>
  <c r="M19" i="55"/>
  <c r="L19" i="55"/>
  <c r="F19" i="55"/>
  <c r="D19" i="55"/>
  <c r="M18" i="55"/>
  <c r="L18" i="55"/>
  <c r="Q18" i="55" s="1"/>
  <c r="N18" i="55" s="1"/>
  <c r="F18" i="55"/>
  <c r="D18" i="55"/>
  <c r="Q17" i="55"/>
  <c r="N17" i="55" s="1"/>
  <c r="M17" i="55"/>
  <c r="L17" i="55"/>
  <c r="F17" i="55"/>
  <c r="D17" i="55"/>
  <c r="M16" i="55"/>
  <c r="L16" i="55"/>
  <c r="Q16" i="55" s="1"/>
  <c r="N16" i="55" s="1"/>
  <c r="F16" i="55"/>
  <c r="D16" i="55"/>
  <c r="Q15" i="55"/>
  <c r="N15" i="55" s="1"/>
  <c r="M15" i="55"/>
  <c r="L15" i="55"/>
  <c r="F15" i="55"/>
  <c r="D15" i="55"/>
  <c r="M14" i="55"/>
  <c r="L14" i="55"/>
  <c r="Q14" i="55" s="1"/>
  <c r="N14" i="55" s="1"/>
  <c r="F14" i="55"/>
  <c r="D14" i="55"/>
  <c r="Q13" i="55"/>
  <c r="N13" i="55"/>
  <c r="M13" i="55"/>
  <c r="L13" i="55"/>
  <c r="F13" i="55"/>
  <c r="D13" i="55"/>
  <c r="Q12" i="55"/>
  <c r="N12" i="55"/>
  <c r="M12" i="55"/>
  <c r="M32" i="55" s="1"/>
  <c r="L12" i="55"/>
  <c r="F12" i="55"/>
  <c r="D12" i="55"/>
  <c r="J8" i="55"/>
  <c r="I8" i="55"/>
  <c r="E148" i="55" s="1"/>
  <c r="H8" i="55"/>
  <c r="D148" i="55" s="1"/>
  <c r="D8" i="55"/>
  <c r="C148" i="55" s="1"/>
  <c r="A8" i="55"/>
  <c r="A148" i="55" s="1"/>
  <c r="H5" i="55"/>
  <c r="K140" i="55" s="1"/>
  <c r="A25" i="50"/>
  <c r="G148" i="54"/>
  <c r="F148" i="54"/>
  <c r="B148" i="54"/>
  <c r="J134" i="54"/>
  <c r="T148" i="54" s="1"/>
  <c r="G134" i="54"/>
  <c r="S148" i="54" s="1"/>
  <c r="F134" i="54"/>
  <c r="K148" i="54" s="1"/>
  <c r="K130" i="54"/>
  <c r="F125" i="54"/>
  <c r="I134" i="54" s="1"/>
  <c r="V148" i="54" s="1"/>
  <c r="F119" i="54"/>
  <c r="H134" i="54" s="1"/>
  <c r="U148" i="54" s="1"/>
  <c r="F113" i="54"/>
  <c r="R112" i="54"/>
  <c r="L112" i="54"/>
  <c r="R111" i="54"/>
  <c r="L111" i="54"/>
  <c r="R110" i="54"/>
  <c r="L110" i="54"/>
  <c r="R109" i="54"/>
  <c r="L109" i="54"/>
  <c r="R108" i="54"/>
  <c r="L108" i="54"/>
  <c r="R107" i="54"/>
  <c r="L107" i="54"/>
  <c r="R106" i="54"/>
  <c r="L106" i="54"/>
  <c r="R105" i="54"/>
  <c r="L105" i="54"/>
  <c r="R104" i="54"/>
  <c r="L104" i="54"/>
  <c r="R103" i="54"/>
  <c r="L103" i="54"/>
  <c r="R102" i="54"/>
  <c r="L102" i="54"/>
  <c r="R101" i="54"/>
  <c r="L101" i="54"/>
  <c r="L113" i="54" s="1"/>
  <c r="P97" i="54"/>
  <c r="O97" i="54"/>
  <c r="F97" i="54"/>
  <c r="P96" i="54"/>
  <c r="O96" i="54"/>
  <c r="P95" i="54"/>
  <c r="O95" i="54"/>
  <c r="P94" i="54"/>
  <c r="O94" i="54"/>
  <c r="P93" i="54"/>
  <c r="O93" i="54"/>
  <c r="P92" i="54"/>
  <c r="O92" i="54"/>
  <c r="P91" i="54"/>
  <c r="O91" i="54"/>
  <c r="P90" i="54"/>
  <c r="O90" i="54"/>
  <c r="P89" i="54"/>
  <c r="O89" i="54"/>
  <c r="P88" i="54"/>
  <c r="O88" i="54"/>
  <c r="P87" i="54"/>
  <c r="O87" i="54"/>
  <c r="P86" i="54"/>
  <c r="O86" i="54"/>
  <c r="P85" i="54"/>
  <c r="O85" i="54"/>
  <c r="F81" i="54"/>
  <c r="E134" i="54" s="1"/>
  <c r="J148" i="54" s="1"/>
  <c r="R80" i="54"/>
  <c r="Q80" i="54"/>
  <c r="R79" i="54"/>
  <c r="Q79" i="54"/>
  <c r="R78" i="54"/>
  <c r="Q78" i="54"/>
  <c r="R77" i="54"/>
  <c r="Q77" i="54"/>
  <c r="R76" i="54"/>
  <c r="Q76" i="54"/>
  <c r="R75" i="54"/>
  <c r="Q75" i="54"/>
  <c r="R74" i="54"/>
  <c r="Q74" i="54"/>
  <c r="R73" i="54"/>
  <c r="Q73" i="54"/>
  <c r="R72" i="54"/>
  <c r="Q72" i="54"/>
  <c r="R71" i="54"/>
  <c r="Q71" i="54"/>
  <c r="R70" i="54"/>
  <c r="Q70" i="54"/>
  <c r="Q68" i="54"/>
  <c r="L68" i="54"/>
  <c r="F65" i="54"/>
  <c r="D134" i="54" s="1"/>
  <c r="R148" i="54" s="1"/>
  <c r="R64" i="54"/>
  <c r="Q64" i="54"/>
  <c r="R63" i="54"/>
  <c r="Q63" i="54"/>
  <c r="R62" i="54"/>
  <c r="Q62" i="54"/>
  <c r="R61" i="54"/>
  <c r="Q61" i="54"/>
  <c r="R60" i="54"/>
  <c r="Q60" i="54"/>
  <c r="R59" i="54"/>
  <c r="Q59" i="54"/>
  <c r="R58" i="54"/>
  <c r="Q58" i="54"/>
  <c r="R57" i="54"/>
  <c r="Q57" i="54"/>
  <c r="R56" i="54"/>
  <c r="Q56" i="54"/>
  <c r="R55" i="54"/>
  <c r="Q55" i="54"/>
  <c r="R54" i="54"/>
  <c r="Q54" i="54"/>
  <c r="R50" i="54"/>
  <c r="K50" i="54"/>
  <c r="C134" i="54" s="1"/>
  <c r="I148" i="54" s="1"/>
  <c r="R49" i="54"/>
  <c r="Q49" i="54"/>
  <c r="L49" i="54"/>
  <c r="R48" i="54"/>
  <c r="Q48" i="54"/>
  <c r="L48" i="54"/>
  <c r="R47" i="54"/>
  <c r="Q47" i="54"/>
  <c r="L47" i="54"/>
  <c r="R46" i="54"/>
  <c r="Q46" i="54"/>
  <c r="L46" i="54"/>
  <c r="R45" i="54"/>
  <c r="Q45" i="54"/>
  <c r="L45" i="54"/>
  <c r="R44" i="54"/>
  <c r="Q44" i="54"/>
  <c r="L44" i="54"/>
  <c r="R43" i="54"/>
  <c r="Q43" i="54"/>
  <c r="L43" i="54"/>
  <c r="R42" i="54"/>
  <c r="Q42" i="54"/>
  <c r="L42" i="54"/>
  <c r="R41" i="54"/>
  <c r="Q41" i="54"/>
  <c r="L41" i="54"/>
  <c r="R40" i="54"/>
  <c r="Q40" i="54"/>
  <c r="L40" i="54"/>
  <c r="R39" i="54"/>
  <c r="Q39" i="54"/>
  <c r="L39" i="54"/>
  <c r="L50" i="54" s="1"/>
  <c r="M50" i="54" s="1"/>
  <c r="R38" i="54"/>
  <c r="Q38" i="54"/>
  <c r="L38" i="54"/>
  <c r="R37" i="54"/>
  <c r="Q37" i="54"/>
  <c r="Q50" i="54" s="1"/>
  <c r="L37" i="54"/>
  <c r="L35" i="54"/>
  <c r="I35" i="54"/>
  <c r="K32" i="54"/>
  <c r="B134" i="54" s="1"/>
  <c r="H148" i="54" s="1"/>
  <c r="J32" i="54"/>
  <c r="Q31" i="54"/>
  <c r="N31" i="54" s="1"/>
  <c r="M31" i="54"/>
  <c r="L31" i="54"/>
  <c r="D31" i="54"/>
  <c r="M30" i="54"/>
  <c r="L30" i="54"/>
  <c r="Q30" i="54" s="1"/>
  <c r="N30" i="54" s="1"/>
  <c r="D30" i="54"/>
  <c r="M29" i="54"/>
  <c r="L29" i="54"/>
  <c r="Q29" i="54" s="1"/>
  <c r="N29" i="54" s="1"/>
  <c r="D29" i="54"/>
  <c r="Q28" i="54"/>
  <c r="N28" i="54" s="1"/>
  <c r="M28" i="54"/>
  <c r="L28" i="54"/>
  <c r="D28" i="54"/>
  <c r="M27" i="54"/>
  <c r="L27" i="54"/>
  <c r="Q27" i="54" s="1"/>
  <c r="N27" i="54" s="1"/>
  <c r="D27" i="54"/>
  <c r="M26" i="54"/>
  <c r="L26" i="54"/>
  <c r="Q26" i="54" s="1"/>
  <c r="N26" i="54" s="1"/>
  <c r="D26" i="54"/>
  <c r="Q25" i="54"/>
  <c r="N25" i="54" s="1"/>
  <c r="M25" i="54"/>
  <c r="L25" i="54"/>
  <c r="D25" i="54"/>
  <c r="M24" i="54"/>
  <c r="L24" i="54"/>
  <c r="Q24" i="54" s="1"/>
  <c r="N24" i="54" s="1"/>
  <c r="D24" i="54"/>
  <c r="M23" i="54"/>
  <c r="L23" i="54"/>
  <c r="Q23" i="54" s="1"/>
  <c r="N23" i="54" s="1"/>
  <c r="D23" i="54"/>
  <c r="Q21" i="54"/>
  <c r="N21" i="54" s="1"/>
  <c r="M21" i="54"/>
  <c r="L21" i="54"/>
  <c r="F21" i="54"/>
  <c r="D21" i="54"/>
  <c r="M20" i="54"/>
  <c r="L20" i="54"/>
  <c r="Q20" i="54" s="1"/>
  <c r="N20" i="54" s="1"/>
  <c r="F20" i="54"/>
  <c r="D20" i="54"/>
  <c r="Q19" i="54"/>
  <c r="N19" i="54" s="1"/>
  <c r="M19" i="54"/>
  <c r="L19" i="54"/>
  <c r="F19" i="54"/>
  <c r="D19" i="54"/>
  <c r="Q18" i="54"/>
  <c r="N18" i="54"/>
  <c r="M18" i="54"/>
  <c r="L18" i="54"/>
  <c r="F18" i="54"/>
  <c r="D18" i="54"/>
  <c r="Q17" i="54"/>
  <c r="N17" i="54" s="1"/>
  <c r="M17" i="54"/>
  <c r="L17" i="54"/>
  <c r="F17" i="54"/>
  <c r="D17" i="54"/>
  <c r="M16" i="54"/>
  <c r="L16" i="54"/>
  <c r="Q16" i="54" s="1"/>
  <c r="N16" i="54" s="1"/>
  <c r="F16" i="54"/>
  <c r="D16" i="54"/>
  <c r="Q15" i="54"/>
  <c r="N15" i="54" s="1"/>
  <c r="M15" i="54"/>
  <c r="L15" i="54"/>
  <c r="F15" i="54"/>
  <c r="D15" i="54"/>
  <c r="Q14" i="54"/>
  <c r="N14" i="54"/>
  <c r="M14" i="54"/>
  <c r="L14" i="54"/>
  <c r="F14" i="54"/>
  <c r="D14" i="54"/>
  <c r="Q13" i="54"/>
  <c r="N13" i="54" s="1"/>
  <c r="M13" i="54"/>
  <c r="L13" i="54"/>
  <c r="F13" i="54"/>
  <c r="D13" i="54"/>
  <c r="M12" i="54"/>
  <c r="M32" i="54" s="1"/>
  <c r="L12" i="54"/>
  <c r="L32" i="54" s="1"/>
  <c r="F12" i="54"/>
  <c r="D12" i="54"/>
  <c r="J8" i="54"/>
  <c r="I8" i="54"/>
  <c r="E148" i="54" s="1"/>
  <c r="H8" i="54"/>
  <c r="D148" i="54" s="1"/>
  <c r="D8" i="54"/>
  <c r="C148" i="54" s="1"/>
  <c r="A8" i="54"/>
  <c r="A148" i="54" s="1"/>
  <c r="H5" i="54"/>
  <c r="K140" i="54" s="1"/>
  <c r="G148" i="53"/>
  <c r="F148" i="53"/>
  <c r="B148" i="53"/>
  <c r="J134" i="53"/>
  <c r="T148" i="53" s="1"/>
  <c r="K130" i="53"/>
  <c r="F125" i="53"/>
  <c r="I134" i="53" s="1"/>
  <c r="V148" i="53" s="1"/>
  <c r="F119" i="53"/>
  <c r="H134" i="53" s="1"/>
  <c r="U148" i="53" s="1"/>
  <c r="F113" i="53"/>
  <c r="G134" i="53" s="1"/>
  <c r="S148" i="53" s="1"/>
  <c r="R112" i="53"/>
  <c r="L112" i="53"/>
  <c r="R111" i="53"/>
  <c r="L111" i="53"/>
  <c r="R110" i="53"/>
  <c r="L110" i="53"/>
  <c r="R109" i="53"/>
  <c r="L109" i="53"/>
  <c r="R108" i="53"/>
  <c r="L108" i="53"/>
  <c r="R107" i="53"/>
  <c r="L107" i="53"/>
  <c r="R106" i="53"/>
  <c r="L106" i="53"/>
  <c r="R105" i="53"/>
  <c r="L105" i="53"/>
  <c r="R104" i="53"/>
  <c r="L104" i="53"/>
  <c r="R103" i="53"/>
  <c r="L103" i="53"/>
  <c r="R102" i="53"/>
  <c r="L102" i="53"/>
  <c r="R101" i="53"/>
  <c r="L101" i="53"/>
  <c r="L113" i="53" s="1"/>
  <c r="P97" i="53"/>
  <c r="O97" i="53"/>
  <c r="F97" i="53"/>
  <c r="F134" i="53" s="1"/>
  <c r="K148" i="53" s="1"/>
  <c r="P96" i="53"/>
  <c r="O96" i="53"/>
  <c r="P95" i="53"/>
  <c r="O95" i="53"/>
  <c r="P94" i="53"/>
  <c r="O94" i="53"/>
  <c r="P93" i="53"/>
  <c r="O93" i="53"/>
  <c r="P92" i="53"/>
  <c r="O92" i="53"/>
  <c r="P91" i="53"/>
  <c r="O91" i="53"/>
  <c r="P90" i="53"/>
  <c r="O90" i="53"/>
  <c r="P89" i="53"/>
  <c r="O89" i="53"/>
  <c r="P88" i="53"/>
  <c r="O88" i="53"/>
  <c r="P87" i="53"/>
  <c r="O87" i="53"/>
  <c r="P86" i="53"/>
  <c r="O86" i="53"/>
  <c r="P85" i="53"/>
  <c r="O85" i="53"/>
  <c r="F81" i="53"/>
  <c r="E134" i="53" s="1"/>
  <c r="J148" i="53" s="1"/>
  <c r="R80" i="53"/>
  <c r="Q80" i="53"/>
  <c r="R79" i="53"/>
  <c r="Q79" i="53"/>
  <c r="R78" i="53"/>
  <c r="Q78" i="53"/>
  <c r="R77" i="53"/>
  <c r="Q77" i="53"/>
  <c r="R76" i="53"/>
  <c r="Q76" i="53"/>
  <c r="R75" i="53"/>
  <c r="Q75" i="53"/>
  <c r="R74" i="53"/>
  <c r="Q74" i="53"/>
  <c r="R73" i="53"/>
  <c r="Q73" i="53"/>
  <c r="R72" i="53"/>
  <c r="Q72" i="53"/>
  <c r="R71" i="53"/>
  <c r="Q71" i="53"/>
  <c r="R70" i="53"/>
  <c r="Q70" i="53"/>
  <c r="Q68" i="53"/>
  <c r="L68" i="53"/>
  <c r="F65" i="53"/>
  <c r="D134" i="53" s="1"/>
  <c r="R148" i="53" s="1"/>
  <c r="R64" i="53"/>
  <c r="Q64" i="53"/>
  <c r="R63" i="53"/>
  <c r="Q63" i="53"/>
  <c r="R62" i="53"/>
  <c r="Q62" i="53"/>
  <c r="R61" i="53"/>
  <c r="Q61" i="53"/>
  <c r="R60" i="53"/>
  <c r="Q60" i="53"/>
  <c r="R59" i="53"/>
  <c r="Q59" i="53"/>
  <c r="R58" i="53"/>
  <c r="Q58" i="53"/>
  <c r="R57" i="53"/>
  <c r="Q57" i="53"/>
  <c r="R56" i="53"/>
  <c r="Q56" i="53"/>
  <c r="R55" i="53"/>
  <c r="Q55" i="53"/>
  <c r="R54" i="53"/>
  <c r="Q54" i="53"/>
  <c r="K50" i="53"/>
  <c r="C134" i="53" s="1"/>
  <c r="I148" i="53" s="1"/>
  <c r="R49" i="53"/>
  <c r="Q49" i="53"/>
  <c r="L49" i="53"/>
  <c r="R48" i="53"/>
  <c r="Q48" i="53"/>
  <c r="L48" i="53"/>
  <c r="R47" i="53"/>
  <c r="Q47" i="53"/>
  <c r="L47" i="53"/>
  <c r="R46" i="53"/>
  <c r="Q46" i="53"/>
  <c r="L46" i="53"/>
  <c r="R45" i="53"/>
  <c r="Q45" i="53"/>
  <c r="L45" i="53"/>
  <c r="R44" i="53"/>
  <c r="Q44" i="53"/>
  <c r="L44" i="53"/>
  <c r="R43" i="53"/>
  <c r="Q43" i="53"/>
  <c r="L43" i="53"/>
  <c r="R42" i="53"/>
  <c r="Q42" i="53"/>
  <c r="L42" i="53"/>
  <c r="R41" i="53"/>
  <c r="Q41" i="53"/>
  <c r="L41" i="53"/>
  <c r="R40" i="53"/>
  <c r="Q40" i="53"/>
  <c r="L40" i="53"/>
  <c r="R39" i="53"/>
  <c r="Q39" i="53"/>
  <c r="L39" i="53"/>
  <c r="R38" i="53"/>
  <c r="Q38" i="53"/>
  <c r="L38" i="53"/>
  <c r="R37" i="53"/>
  <c r="R50" i="53" s="1"/>
  <c r="Q37" i="53"/>
  <c r="Q50" i="53" s="1"/>
  <c r="L37" i="53"/>
  <c r="L50" i="53" s="1"/>
  <c r="M50" i="53" s="1"/>
  <c r="L35" i="53"/>
  <c r="I35" i="53"/>
  <c r="K32" i="53"/>
  <c r="B134" i="53" s="1"/>
  <c r="H148" i="53" s="1"/>
  <c r="J32" i="53"/>
  <c r="M31" i="53"/>
  <c r="L31" i="53"/>
  <c r="Q31" i="53" s="1"/>
  <c r="N31" i="53" s="1"/>
  <c r="D31" i="53"/>
  <c r="M30" i="53"/>
  <c r="L30" i="53"/>
  <c r="Q30" i="53" s="1"/>
  <c r="N30" i="53" s="1"/>
  <c r="D30" i="53"/>
  <c r="M29" i="53"/>
  <c r="L29" i="53"/>
  <c r="Q29" i="53" s="1"/>
  <c r="N29" i="53" s="1"/>
  <c r="D29" i="53"/>
  <c r="M28" i="53"/>
  <c r="L28" i="53"/>
  <c r="Q28" i="53" s="1"/>
  <c r="N28" i="53" s="1"/>
  <c r="D28" i="53"/>
  <c r="M27" i="53"/>
  <c r="L27" i="53"/>
  <c r="Q27" i="53" s="1"/>
  <c r="N27" i="53" s="1"/>
  <c r="D27" i="53"/>
  <c r="M26" i="53"/>
  <c r="L26" i="53"/>
  <c r="Q26" i="53" s="1"/>
  <c r="N26" i="53" s="1"/>
  <c r="D26" i="53"/>
  <c r="M25" i="53"/>
  <c r="L25" i="53"/>
  <c r="Q25" i="53" s="1"/>
  <c r="N25" i="53" s="1"/>
  <c r="D25" i="53"/>
  <c r="M24" i="53"/>
  <c r="L24" i="53"/>
  <c r="Q24" i="53" s="1"/>
  <c r="N24" i="53" s="1"/>
  <c r="D24" i="53"/>
  <c r="M23" i="53"/>
  <c r="L23" i="53"/>
  <c r="Q23" i="53" s="1"/>
  <c r="N23" i="53" s="1"/>
  <c r="D23" i="53"/>
  <c r="M21" i="53"/>
  <c r="L21" i="53"/>
  <c r="Q21" i="53" s="1"/>
  <c r="N21" i="53" s="1"/>
  <c r="F21" i="53"/>
  <c r="D21" i="53"/>
  <c r="M20" i="53"/>
  <c r="L20" i="53"/>
  <c r="Q20" i="53" s="1"/>
  <c r="N20" i="53" s="1"/>
  <c r="F20" i="53"/>
  <c r="D20" i="53"/>
  <c r="Q19" i="53"/>
  <c r="N19" i="53" s="1"/>
  <c r="M19" i="53"/>
  <c r="L19" i="53"/>
  <c r="F19" i="53"/>
  <c r="D19" i="53"/>
  <c r="Q18" i="53"/>
  <c r="N18" i="53"/>
  <c r="M18" i="53"/>
  <c r="L18" i="53"/>
  <c r="F18" i="53"/>
  <c r="D18" i="53"/>
  <c r="Q17" i="53"/>
  <c r="N17" i="53"/>
  <c r="M17" i="53"/>
  <c r="L17" i="53"/>
  <c r="F17" i="53"/>
  <c r="D17" i="53"/>
  <c r="M16" i="53"/>
  <c r="L16" i="53"/>
  <c r="Q16" i="53" s="1"/>
  <c r="N16" i="53" s="1"/>
  <c r="F16" i="53"/>
  <c r="D16" i="53"/>
  <c r="Q15" i="53"/>
  <c r="N15" i="53" s="1"/>
  <c r="M15" i="53"/>
  <c r="L15" i="53"/>
  <c r="F15" i="53"/>
  <c r="D15" i="53"/>
  <c r="Q14" i="53"/>
  <c r="N14" i="53"/>
  <c r="M14" i="53"/>
  <c r="L14" i="53"/>
  <c r="F14" i="53"/>
  <c r="D14" i="53"/>
  <c r="M13" i="53"/>
  <c r="L13" i="53"/>
  <c r="Q13" i="53" s="1"/>
  <c r="N13" i="53" s="1"/>
  <c r="F13" i="53"/>
  <c r="D13" i="53"/>
  <c r="M12" i="53"/>
  <c r="L12" i="53"/>
  <c r="L32" i="53" s="1"/>
  <c r="F12" i="53"/>
  <c r="D12" i="53"/>
  <c r="J8" i="53"/>
  <c r="I8" i="53"/>
  <c r="E148" i="53" s="1"/>
  <c r="H8" i="53"/>
  <c r="D148" i="53" s="1"/>
  <c r="D8" i="53"/>
  <c r="C148" i="53" s="1"/>
  <c r="A8" i="53"/>
  <c r="A148" i="53" s="1"/>
  <c r="H5" i="53"/>
  <c r="K140" i="53" s="1"/>
  <c r="L32" i="59" l="1"/>
  <c r="Q32" i="59" s="1"/>
  <c r="N32" i="59" s="1"/>
  <c r="M35" i="59"/>
  <c r="P18" i="59"/>
  <c r="R18" i="59"/>
  <c r="O18" i="59" s="1"/>
  <c r="R14" i="59"/>
  <c r="O14" i="59" s="1"/>
  <c r="P14" i="59" s="1"/>
  <c r="R29" i="59"/>
  <c r="O29" i="59" s="1"/>
  <c r="P29" i="59" s="1"/>
  <c r="R26" i="59"/>
  <c r="O26" i="59" s="1"/>
  <c r="P26" i="59" s="1"/>
  <c r="R23" i="59"/>
  <c r="O23" i="59" s="1"/>
  <c r="P23" i="59" s="1"/>
  <c r="R19" i="59"/>
  <c r="O19" i="59" s="1"/>
  <c r="P19" i="59" s="1"/>
  <c r="R15" i="59"/>
  <c r="O15" i="59" s="1"/>
  <c r="P15" i="59" s="1"/>
  <c r="R30" i="59"/>
  <c r="O30" i="59" s="1"/>
  <c r="R27" i="59"/>
  <c r="O27" i="59" s="1"/>
  <c r="R24" i="59"/>
  <c r="O24" i="59" s="1"/>
  <c r="R20" i="59"/>
  <c r="O20" i="59" s="1"/>
  <c r="R16" i="59"/>
  <c r="O16" i="59" s="1"/>
  <c r="P16" i="59" s="1"/>
  <c r="R12" i="59"/>
  <c r="O12" i="59" s="1"/>
  <c r="R31" i="59"/>
  <c r="O31" i="59" s="1"/>
  <c r="R28" i="59"/>
  <c r="O28" i="59" s="1"/>
  <c r="P28" i="59" s="1"/>
  <c r="R25" i="59"/>
  <c r="O25" i="59" s="1"/>
  <c r="P25" i="59" s="1"/>
  <c r="R21" i="59"/>
  <c r="O21" i="59" s="1"/>
  <c r="P21" i="59" s="1"/>
  <c r="R17" i="59"/>
  <c r="O17" i="59" s="1"/>
  <c r="P17" i="59" s="1"/>
  <c r="R13" i="59"/>
  <c r="O13" i="59" s="1"/>
  <c r="P13" i="59" s="1"/>
  <c r="P30" i="59"/>
  <c r="P27" i="59"/>
  <c r="W148" i="59"/>
  <c r="P24" i="59"/>
  <c r="P20" i="59"/>
  <c r="P31" i="59"/>
  <c r="Q12" i="59"/>
  <c r="N12" i="59" s="1"/>
  <c r="P12" i="59" s="1"/>
  <c r="P18" i="58"/>
  <c r="Q32" i="58"/>
  <c r="N32" i="58" s="1"/>
  <c r="A134" i="58"/>
  <c r="K134" i="58" s="1"/>
  <c r="R32" i="58"/>
  <c r="O32" i="58" s="1"/>
  <c r="R18" i="58"/>
  <c r="O18" i="58" s="1"/>
  <c r="R14" i="58"/>
  <c r="O14" i="58" s="1"/>
  <c r="R29" i="58"/>
  <c r="O29" i="58" s="1"/>
  <c r="R26" i="58"/>
  <c r="O26" i="58" s="1"/>
  <c r="R23" i="58"/>
  <c r="O23" i="58" s="1"/>
  <c r="P23" i="58" s="1"/>
  <c r="R19" i="58"/>
  <c r="O19" i="58" s="1"/>
  <c r="P19" i="58" s="1"/>
  <c r="R15" i="58"/>
  <c r="O15" i="58" s="1"/>
  <c r="R30" i="58"/>
  <c r="O30" i="58" s="1"/>
  <c r="P30" i="58" s="1"/>
  <c r="R27" i="58"/>
  <c r="O27" i="58" s="1"/>
  <c r="P27" i="58" s="1"/>
  <c r="R24" i="58"/>
  <c r="O24" i="58" s="1"/>
  <c r="P24" i="58" s="1"/>
  <c r="R20" i="58"/>
  <c r="O20" i="58" s="1"/>
  <c r="P20" i="58" s="1"/>
  <c r="R16" i="58"/>
  <c r="O16" i="58" s="1"/>
  <c r="P16" i="58" s="1"/>
  <c r="R12" i="58"/>
  <c r="O12" i="58" s="1"/>
  <c r="R31" i="58"/>
  <c r="O31" i="58" s="1"/>
  <c r="P31" i="58" s="1"/>
  <c r="R28" i="58"/>
  <c r="O28" i="58" s="1"/>
  <c r="P28" i="58" s="1"/>
  <c r="R25" i="58"/>
  <c r="O25" i="58" s="1"/>
  <c r="P25" i="58" s="1"/>
  <c r="R21" i="58"/>
  <c r="O21" i="58" s="1"/>
  <c r="P21" i="58" s="1"/>
  <c r="R17" i="58"/>
  <c r="O17" i="58" s="1"/>
  <c r="P17" i="58" s="1"/>
  <c r="R13" i="58"/>
  <c r="O13" i="58" s="1"/>
  <c r="P13" i="58" s="1"/>
  <c r="P14" i="58"/>
  <c r="P29" i="58"/>
  <c r="P12" i="58"/>
  <c r="P26" i="58"/>
  <c r="M35" i="58"/>
  <c r="P15" i="58"/>
  <c r="W148" i="58"/>
  <c r="R32" i="57"/>
  <c r="R18" i="57"/>
  <c r="O18" i="57" s="1"/>
  <c r="P18" i="57" s="1"/>
  <c r="R14" i="57"/>
  <c r="O14" i="57" s="1"/>
  <c r="R29" i="57"/>
  <c r="O29" i="57" s="1"/>
  <c r="P29" i="57" s="1"/>
  <c r="R26" i="57"/>
  <c r="O26" i="57" s="1"/>
  <c r="R23" i="57"/>
  <c r="O23" i="57" s="1"/>
  <c r="P23" i="57" s="1"/>
  <c r="R19" i="57"/>
  <c r="O19" i="57" s="1"/>
  <c r="P19" i="57" s="1"/>
  <c r="R15" i="57"/>
  <c r="O15" i="57" s="1"/>
  <c r="P15" i="57" s="1"/>
  <c r="R25" i="57"/>
  <c r="O25" i="57" s="1"/>
  <c r="P25" i="57" s="1"/>
  <c r="R30" i="57"/>
  <c r="O30" i="57" s="1"/>
  <c r="P30" i="57" s="1"/>
  <c r="R27" i="57"/>
  <c r="O27" i="57" s="1"/>
  <c r="R24" i="57"/>
  <c r="O24" i="57" s="1"/>
  <c r="R20" i="57"/>
  <c r="O20" i="57" s="1"/>
  <c r="R16" i="57"/>
  <c r="O16" i="57" s="1"/>
  <c r="R12" i="57"/>
  <c r="O12" i="57" s="1"/>
  <c r="R31" i="57"/>
  <c r="O31" i="57" s="1"/>
  <c r="P31" i="57" s="1"/>
  <c r="R28" i="57"/>
  <c r="O28" i="57" s="1"/>
  <c r="R21" i="57"/>
  <c r="O21" i="57" s="1"/>
  <c r="P21" i="57" s="1"/>
  <c r="R17" i="57"/>
  <c r="O17" i="57" s="1"/>
  <c r="P17" i="57" s="1"/>
  <c r="R13" i="57"/>
  <c r="O13" i="57" s="1"/>
  <c r="P13" i="57" s="1"/>
  <c r="P28" i="57"/>
  <c r="P24" i="57"/>
  <c r="M35" i="57"/>
  <c r="P16" i="57"/>
  <c r="P26" i="57"/>
  <c r="Q32" i="57"/>
  <c r="N32" i="57" s="1"/>
  <c r="P32" i="57" s="1"/>
  <c r="A134" i="57"/>
  <c r="K134" i="57" s="1"/>
  <c r="P20" i="57"/>
  <c r="P27" i="57"/>
  <c r="W148" i="57"/>
  <c r="P14" i="57"/>
  <c r="Q12" i="57"/>
  <c r="N12" i="57" s="1"/>
  <c r="P12" i="57" s="1"/>
  <c r="O32" i="57"/>
  <c r="P24" i="56"/>
  <c r="P20" i="56"/>
  <c r="P16" i="56"/>
  <c r="Q32" i="56"/>
  <c r="A134" i="56"/>
  <c r="K134" i="56" s="1"/>
  <c r="R32" i="56"/>
  <c r="O32" i="56" s="1"/>
  <c r="R18" i="56"/>
  <c r="O18" i="56" s="1"/>
  <c r="P18" i="56" s="1"/>
  <c r="R14" i="56"/>
  <c r="O14" i="56" s="1"/>
  <c r="R29" i="56"/>
  <c r="O29" i="56" s="1"/>
  <c r="P29" i="56" s="1"/>
  <c r="R26" i="56"/>
  <c r="O26" i="56" s="1"/>
  <c r="P26" i="56" s="1"/>
  <c r="R23" i="56"/>
  <c r="O23" i="56" s="1"/>
  <c r="P23" i="56" s="1"/>
  <c r="R19" i="56"/>
  <c r="O19" i="56" s="1"/>
  <c r="P19" i="56" s="1"/>
  <c r="R15" i="56"/>
  <c r="O15" i="56" s="1"/>
  <c r="R30" i="56"/>
  <c r="O30" i="56" s="1"/>
  <c r="P30" i="56" s="1"/>
  <c r="R27" i="56"/>
  <c r="O27" i="56" s="1"/>
  <c r="R24" i="56"/>
  <c r="O24" i="56" s="1"/>
  <c r="R20" i="56"/>
  <c r="O20" i="56" s="1"/>
  <c r="R16" i="56"/>
  <c r="O16" i="56" s="1"/>
  <c r="R12" i="56"/>
  <c r="O12" i="56" s="1"/>
  <c r="P12" i="56" s="1"/>
  <c r="R31" i="56"/>
  <c r="O31" i="56" s="1"/>
  <c r="R28" i="56"/>
  <c r="O28" i="56" s="1"/>
  <c r="P28" i="56" s="1"/>
  <c r="R25" i="56"/>
  <c r="O25" i="56" s="1"/>
  <c r="P25" i="56" s="1"/>
  <c r="R21" i="56"/>
  <c r="O21" i="56" s="1"/>
  <c r="P21" i="56" s="1"/>
  <c r="R17" i="56"/>
  <c r="O17" i="56" s="1"/>
  <c r="P17" i="56" s="1"/>
  <c r="R13" i="56"/>
  <c r="O13" i="56" s="1"/>
  <c r="P13" i="56" s="1"/>
  <c r="P14" i="56"/>
  <c r="P27" i="56"/>
  <c r="P31" i="56"/>
  <c r="W148" i="56"/>
  <c r="P15" i="56"/>
  <c r="N32" i="56"/>
  <c r="P32" i="56" s="1"/>
  <c r="R18" i="55"/>
  <c r="O18" i="55" s="1"/>
  <c r="R14" i="55"/>
  <c r="O14" i="55" s="1"/>
  <c r="P14" i="55" s="1"/>
  <c r="R29" i="55"/>
  <c r="O29" i="55" s="1"/>
  <c r="P29" i="55" s="1"/>
  <c r="R26" i="55"/>
  <c r="O26" i="55" s="1"/>
  <c r="R23" i="55"/>
  <c r="O23" i="55" s="1"/>
  <c r="R19" i="55"/>
  <c r="O19" i="55" s="1"/>
  <c r="R15" i="55"/>
  <c r="O15" i="55" s="1"/>
  <c r="R12" i="55"/>
  <c r="O12" i="55" s="1"/>
  <c r="P12" i="55" s="1"/>
  <c r="R30" i="55"/>
  <c r="O30" i="55" s="1"/>
  <c r="P30" i="55" s="1"/>
  <c r="R27" i="55"/>
  <c r="O27" i="55" s="1"/>
  <c r="R24" i="55"/>
  <c r="O24" i="55" s="1"/>
  <c r="R16" i="55"/>
  <c r="O16" i="55" s="1"/>
  <c r="R20" i="55"/>
  <c r="O20" i="55" s="1"/>
  <c r="R31" i="55"/>
  <c r="O31" i="55" s="1"/>
  <c r="R28" i="55"/>
  <c r="O28" i="55" s="1"/>
  <c r="R25" i="55"/>
  <c r="O25" i="55" s="1"/>
  <c r="R21" i="55"/>
  <c r="O21" i="55" s="1"/>
  <c r="R17" i="55"/>
  <c r="O17" i="55" s="1"/>
  <c r="P17" i="55" s="1"/>
  <c r="R13" i="55"/>
  <c r="O13" i="55" s="1"/>
  <c r="P13" i="55" s="1"/>
  <c r="P27" i="55"/>
  <c r="P31" i="55"/>
  <c r="P19" i="55"/>
  <c r="P20" i="55"/>
  <c r="P24" i="55"/>
  <c r="P28" i="55"/>
  <c r="P18" i="55"/>
  <c r="P25" i="55"/>
  <c r="P15" i="55"/>
  <c r="P21" i="55"/>
  <c r="P26" i="55"/>
  <c r="P16" i="55"/>
  <c r="W148" i="55"/>
  <c r="P23" i="55"/>
  <c r="L32" i="55"/>
  <c r="C28" i="50"/>
  <c r="D28" i="50" s="1"/>
  <c r="C30" i="50"/>
  <c r="D30" i="50" s="1"/>
  <c r="C27" i="50"/>
  <c r="D27" i="50" s="1"/>
  <c r="C29" i="50"/>
  <c r="D29" i="50" s="1"/>
  <c r="C26" i="50"/>
  <c r="D26" i="50" s="1"/>
  <c r="P31" i="54"/>
  <c r="P28" i="54"/>
  <c r="P13" i="54"/>
  <c r="M35" i="54"/>
  <c r="P24" i="54"/>
  <c r="P26" i="54"/>
  <c r="Q32" i="54"/>
  <c r="N32" i="54" s="1"/>
  <c r="P32" i="54" s="1"/>
  <c r="A134" i="54"/>
  <c r="K134" i="54" s="1"/>
  <c r="R32" i="54"/>
  <c r="R18" i="54"/>
  <c r="O18" i="54" s="1"/>
  <c r="P18" i="54" s="1"/>
  <c r="R14" i="54"/>
  <c r="O14" i="54" s="1"/>
  <c r="P14" i="54" s="1"/>
  <c r="R29" i="54"/>
  <c r="O29" i="54" s="1"/>
  <c r="P29" i="54" s="1"/>
  <c r="R26" i="54"/>
  <c r="O26" i="54" s="1"/>
  <c r="R23" i="54"/>
  <c r="O23" i="54" s="1"/>
  <c r="P23" i="54" s="1"/>
  <c r="R19" i="54"/>
  <c r="O19" i="54" s="1"/>
  <c r="R15" i="54"/>
  <c r="O15" i="54" s="1"/>
  <c r="P15" i="54" s="1"/>
  <c r="R30" i="54"/>
  <c r="O30" i="54" s="1"/>
  <c r="P30" i="54" s="1"/>
  <c r="R27" i="54"/>
  <c r="O27" i="54" s="1"/>
  <c r="R24" i="54"/>
  <c r="O24" i="54" s="1"/>
  <c r="R20" i="54"/>
  <c r="O20" i="54" s="1"/>
  <c r="P20" i="54" s="1"/>
  <c r="R16" i="54"/>
  <c r="O16" i="54" s="1"/>
  <c r="P16" i="54" s="1"/>
  <c r="R12" i="54"/>
  <c r="O12" i="54" s="1"/>
  <c r="R31" i="54"/>
  <c r="O31" i="54" s="1"/>
  <c r="R28" i="54"/>
  <c r="O28" i="54" s="1"/>
  <c r="R25" i="54"/>
  <c r="O25" i="54" s="1"/>
  <c r="P25" i="54" s="1"/>
  <c r="R21" i="54"/>
  <c r="O21" i="54" s="1"/>
  <c r="P21" i="54" s="1"/>
  <c r="R17" i="54"/>
  <c r="O17" i="54" s="1"/>
  <c r="P17" i="54" s="1"/>
  <c r="R13" i="54"/>
  <c r="O13" i="54" s="1"/>
  <c r="P19" i="54"/>
  <c r="P27" i="54"/>
  <c r="W148" i="54"/>
  <c r="Q12" i="54"/>
  <c r="N12" i="54" s="1"/>
  <c r="P12" i="54" s="1"/>
  <c r="O32" i="54"/>
  <c r="C25" i="50"/>
  <c r="B25" i="50"/>
  <c r="M32" i="53"/>
  <c r="R32" i="53" s="1"/>
  <c r="O32" i="53" s="1"/>
  <c r="Q32" i="53"/>
  <c r="N32" i="53" s="1"/>
  <c r="A134" i="53"/>
  <c r="K134" i="53" s="1"/>
  <c r="M35" i="53"/>
  <c r="W148" i="53"/>
  <c r="Q12" i="53"/>
  <c r="N12" i="53" s="1"/>
  <c r="AP31" i="50"/>
  <c r="AQ31" i="50"/>
  <c r="AR31" i="50"/>
  <c r="AS31" i="50"/>
  <c r="AT31" i="50"/>
  <c r="AU31" i="50"/>
  <c r="AV31" i="50"/>
  <c r="AW31" i="50"/>
  <c r="AX31" i="50"/>
  <c r="AY31" i="50"/>
  <c r="AZ31" i="50"/>
  <c r="BA31" i="50"/>
  <c r="AP32" i="50"/>
  <c r="AQ32" i="50"/>
  <c r="AR32" i="50"/>
  <c r="AS32" i="50"/>
  <c r="AT32" i="50"/>
  <c r="AU32" i="50"/>
  <c r="AV32" i="50"/>
  <c r="AW32" i="50"/>
  <c r="AX32" i="50"/>
  <c r="AY32" i="50"/>
  <c r="AZ32" i="50"/>
  <c r="BA32" i="50"/>
  <c r="AO31" i="50"/>
  <c r="AO32" i="50"/>
  <c r="AB31" i="50"/>
  <c r="AC31" i="50"/>
  <c r="AD31" i="50"/>
  <c r="AE31" i="50"/>
  <c r="AF31" i="50"/>
  <c r="AG31" i="50"/>
  <c r="AH31" i="50"/>
  <c r="AI31" i="50"/>
  <c r="AJ31" i="50"/>
  <c r="AK31" i="50"/>
  <c r="AL31" i="50"/>
  <c r="AM31" i="50"/>
  <c r="AB32" i="50"/>
  <c r="AC32" i="50"/>
  <c r="AD32" i="50"/>
  <c r="AE32" i="50"/>
  <c r="AF32" i="50"/>
  <c r="AG32" i="50"/>
  <c r="AH32" i="50"/>
  <c r="AI32" i="50"/>
  <c r="AJ32" i="50"/>
  <c r="AK32" i="50"/>
  <c r="AL32" i="50"/>
  <c r="AM32" i="50"/>
  <c r="AA31" i="50"/>
  <c r="AA32" i="50"/>
  <c r="O28" i="50"/>
  <c r="P28" i="50"/>
  <c r="W28" i="50"/>
  <c r="L27" i="50"/>
  <c r="V28" i="50"/>
  <c r="I29" i="50"/>
  <c r="V27" i="50"/>
  <c r="K27" i="50"/>
  <c r="N28" i="50"/>
  <c r="M28" i="50"/>
  <c r="M27" i="50"/>
  <c r="H27" i="50"/>
  <c r="J28" i="50"/>
  <c r="P29" i="50"/>
  <c r="Y28" i="50"/>
  <c r="Y27" i="50"/>
  <c r="K29" i="50"/>
  <c r="X29" i="50"/>
  <c r="N27" i="50"/>
  <c r="X28" i="50"/>
  <c r="T30" i="50"/>
  <c r="T27" i="50"/>
  <c r="H26" i="50"/>
  <c r="R32" i="59" l="1"/>
  <c r="O32" i="59" s="1"/>
  <c r="P32" i="59" s="1"/>
  <c r="A134" i="59"/>
  <c r="K134" i="59" s="1"/>
  <c r="D25" i="50"/>
  <c r="P32" i="58"/>
  <c r="Q32" i="55"/>
  <c r="N32" i="55" s="1"/>
  <c r="A134" i="55"/>
  <c r="K134" i="55" s="1"/>
  <c r="R32" i="55"/>
  <c r="O32" i="55" s="1"/>
  <c r="F28" i="50"/>
  <c r="F27" i="50"/>
  <c r="F30" i="50"/>
  <c r="F29" i="50"/>
  <c r="F26" i="50"/>
  <c r="R12" i="53"/>
  <c r="O12" i="53" s="1"/>
  <c r="P12" i="53" s="1"/>
  <c r="R16" i="53"/>
  <c r="O16" i="53" s="1"/>
  <c r="P16" i="53" s="1"/>
  <c r="R20" i="53"/>
  <c r="O20" i="53" s="1"/>
  <c r="P20" i="53" s="1"/>
  <c r="R24" i="53"/>
  <c r="O24" i="53" s="1"/>
  <c r="P24" i="53" s="1"/>
  <c r="P32" i="53"/>
  <c r="R14" i="53"/>
  <c r="O14" i="53" s="1"/>
  <c r="P14" i="53" s="1"/>
  <c r="R27" i="53"/>
  <c r="O27" i="53" s="1"/>
  <c r="P27" i="53" s="1"/>
  <c r="R30" i="53"/>
  <c r="O30" i="53" s="1"/>
  <c r="P30" i="53" s="1"/>
  <c r="R13" i="53"/>
  <c r="O13" i="53" s="1"/>
  <c r="P13" i="53" s="1"/>
  <c r="R15" i="53"/>
  <c r="O15" i="53" s="1"/>
  <c r="P15" i="53" s="1"/>
  <c r="R18" i="53"/>
  <c r="O18" i="53" s="1"/>
  <c r="P18" i="53" s="1"/>
  <c r="R17" i="53"/>
  <c r="O17" i="53" s="1"/>
  <c r="P17" i="53" s="1"/>
  <c r="R19" i="53"/>
  <c r="O19" i="53" s="1"/>
  <c r="P19" i="53" s="1"/>
  <c r="R21" i="53"/>
  <c r="O21" i="53" s="1"/>
  <c r="P21" i="53" s="1"/>
  <c r="R23" i="53"/>
  <c r="O23" i="53" s="1"/>
  <c r="P23" i="53" s="1"/>
  <c r="R25" i="53"/>
  <c r="O25" i="53" s="1"/>
  <c r="P25" i="53" s="1"/>
  <c r="R26" i="53"/>
  <c r="O26" i="53" s="1"/>
  <c r="P26" i="53" s="1"/>
  <c r="R28" i="53"/>
  <c r="O28" i="53" s="1"/>
  <c r="P28" i="53" s="1"/>
  <c r="R29" i="53"/>
  <c r="O29" i="53" s="1"/>
  <c r="P29" i="53" s="1"/>
  <c r="R31" i="53"/>
  <c r="O31" i="53" s="1"/>
  <c r="P31" i="53" s="1"/>
  <c r="AU27" i="50"/>
  <c r="AK27" i="50"/>
  <c r="AX27" i="50"/>
  <c r="AB27" i="50"/>
  <c r="AD27" i="50"/>
  <c r="AV27" i="50"/>
  <c r="AL27" i="50"/>
  <c r="AW27" i="50"/>
  <c r="AM27" i="50"/>
  <c r="AA27" i="50"/>
  <c r="AY27" i="50"/>
  <c r="AC27" i="50"/>
  <c r="AZ27" i="50"/>
  <c r="BA27" i="50"/>
  <c r="AE27" i="50"/>
  <c r="AP27" i="50"/>
  <c r="AF27" i="50"/>
  <c r="AR27" i="50"/>
  <c r="AQ27" i="50"/>
  <c r="AG27" i="50"/>
  <c r="AO27" i="50"/>
  <c r="AH27" i="50"/>
  <c r="AS27" i="50"/>
  <c r="AI27" i="50"/>
  <c r="AT27" i="50"/>
  <c r="AJ27" i="50"/>
  <c r="AU26" i="50"/>
  <c r="AK26" i="50"/>
  <c r="AV26" i="50"/>
  <c r="AL26" i="50"/>
  <c r="AX26" i="50"/>
  <c r="AW26" i="50"/>
  <c r="AM26" i="50"/>
  <c r="AB26" i="50"/>
  <c r="AY26" i="50"/>
  <c r="AC26" i="50"/>
  <c r="AA26" i="50"/>
  <c r="AZ26" i="50"/>
  <c r="AD26" i="50"/>
  <c r="BA26" i="50"/>
  <c r="AE26" i="50"/>
  <c r="AR26" i="50"/>
  <c r="AP26" i="50"/>
  <c r="AF26" i="50"/>
  <c r="AH26" i="50"/>
  <c r="AQ26" i="50"/>
  <c r="AO26" i="50"/>
  <c r="AG26" i="50"/>
  <c r="AS26" i="50"/>
  <c r="AI26" i="50"/>
  <c r="AT26" i="50"/>
  <c r="AJ26" i="50"/>
  <c r="K134" i="42"/>
  <c r="K134" i="39"/>
  <c r="K134" i="40"/>
  <c r="K134" i="36"/>
  <c r="K134" i="32"/>
  <c r="K134" i="27"/>
  <c r="K134" i="28"/>
  <c r="A24" i="50"/>
  <c r="B24" i="50" s="1"/>
  <c r="A20" i="50"/>
  <c r="B20" i="50" s="1"/>
  <c r="A19" i="50"/>
  <c r="B19" i="50" s="1"/>
  <c r="A18" i="50"/>
  <c r="B18" i="50" s="1"/>
  <c r="A17" i="50"/>
  <c r="B17" i="50" s="1"/>
  <c r="A23" i="50"/>
  <c r="B23" i="50" s="1"/>
  <c r="A16" i="50"/>
  <c r="C16" i="50" s="1"/>
  <c r="A15" i="50"/>
  <c r="C15" i="50" s="1"/>
  <c r="A14" i="50"/>
  <c r="B14" i="50" s="1"/>
  <c r="A22" i="50"/>
  <c r="C22" i="50" s="1"/>
  <c r="A13" i="50"/>
  <c r="C13" i="50" s="1"/>
  <c r="A21" i="50"/>
  <c r="C21" i="50" s="1"/>
  <c r="A12" i="50"/>
  <c r="B12" i="50" s="1"/>
  <c r="A11" i="50"/>
  <c r="B11" i="50" s="1"/>
  <c r="A10" i="50"/>
  <c r="C10" i="50" s="1"/>
  <c r="A9" i="50"/>
  <c r="B9" i="50" s="1"/>
  <c r="A8" i="50"/>
  <c r="C8" i="50" s="1"/>
  <c r="A7" i="50"/>
  <c r="B7" i="50" s="1"/>
  <c r="A6" i="50"/>
  <c r="C6" i="50" s="1"/>
  <c r="A5" i="50"/>
  <c r="B5" i="50" s="1"/>
  <c r="A4" i="50"/>
  <c r="B4" i="50" s="1"/>
  <c r="A3" i="50"/>
  <c r="B3" i="50" s="1"/>
  <c r="B2" i="50"/>
  <c r="F148" i="11"/>
  <c r="R25" i="50"/>
  <c r="U29" i="50"/>
  <c r="O25" i="50"/>
  <c r="U26" i="50"/>
  <c r="Q27" i="50"/>
  <c r="J27" i="50"/>
  <c r="S29" i="50"/>
  <c r="Q26" i="50"/>
  <c r="P27" i="50"/>
  <c r="H30" i="50"/>
  <c r="T25" i="50"/>
  <c r="K25" i="50"/>
  <c r="M29" i="50"/>
  <c r="V30" i="50"/>
  <c r="K26" i="50"/>
  <c r="S30" i="50"/>
  <c r="I25" i="50"/>
  <c r="Y25" i="50"/>
  <c r="S26" i="50"/>
  <c r="J26" i="50"/>
  <c r="N26" i="50"/>
  <c r="X25" i="50"/>
  <c r="T29" i="50"/>
  <c r="W25" i="50"/>
  <c r="R26" i="50"/>
  <c r="Q29" i="50"/>
  <c r="M30" i="50"/>
  <c r="I28" i="50"/>
  <c r="Q25" i="50"/>
  <c r="V29" i="50"/>
  <c r="P26" i="50"/>
  <c r="S28" i="50"/>
  <c r="K30" i="50"/>
  <c r="I30" i="50"/>
  <c r="O30" i="50"/>
  <c r="V26" i="50"/>
  <c r="S27" i="50"/>
  <c r="I27" i="50"/>
  <c r="N29" i="50"/>
  <c r="J29" i="50"/>
  <c r="W30" i="50"/>
  <c r="L26" i="50"/>
  <c r="P30" i="50"/>
  <c r="W26" i="50"/>
  <c r="T28" i="50"/>
  <c r="J30" i="50"/>
  <c r="X26" i="50"/>
  <c r="R27" i="50"/>
  <c r="Q28" i="50"/>
  <c r="I26" i="50"/>
  <c r="M26" i="50"/>
  <c r="T26" i="50"/>
  <c r="X27" i="50"/>
  <c r="U25" i="50"/>
  <c r="R30" i="50"/>
  <c r="X30" i="50"/>
  <c r="H25" i="50"/>
  <c r="Y26" i="50"/>
  <c r="R28" i="50"/>
  <c r="K28" i="50"/>
  <c r="W29" i="50"/>
  <c r="U30" i="50"/>
  <c r="P25" i="50"/>
  <c r="L29" i="50"/>
  <c r="Y29" i="50"/>
  <c r="H28" i="50"/>
  <c r="U28" i="50"/>
  <c r="U27" i="50"/>
  <c r="L30" i="50"/>
  <c r="Y30" i="50"/>
  <c r="R29" i="50"/>
  <c r="V25" i="50"/>
  <c r="O26" i="50"/>
  <c r="J25" i="50"/>
  <c r="L28" i="50"/>
  <c r="W27" i="50"/>
  <c r="N25" i="50"/>
  <c r="H29" i="50"/>
  <c r="O29" i="50"/>
  <c r="O27" i="50"/>
  <c r="N30" i="50"/>
  <c r="Q30" i="50"/>
  <c r="S25" i="50"/>
  <c r="L25" i="50"/>
  <c r="M25" i="50"/>
  <c r="AM28" i="50" l="1"/>
  <c r="AG28" i="50"/>
  <c r="AX28" i="50"/>
  <c r="AR28" i="50"/>
  <c r="AY28" i="50"/>
  <c r="AH28" i="50"/>
  <c r="AC28" i="50"/>
  <c r="AS28" i="50"/>
  <c r="AZ28" i="50"/>
  <c r="AO28" i="50"/>
  <c r="AQ28" i="50"/>
  <c r="AD28" i="50"/>
  <c r="AI28" i="50"/>
  <c r="AU28" i="50"/>
  <c r="BA28" i="50"/>
  <c r="AT28" i="50"/>
  <c r="AW28" i="50"/>
  <c r="AK28" i="50"/>
  <c r="AE28" i="50"/>
  <c r="AJ28" i="50"/>
  <c r="AP28" i="50"/>
  <c r="AV28" i="50"/>
  <c r="AA28" i="50"/>
  <c r="AL28" i="50"/>
  <c r="AF28" i="50"/>
  <c r="AB28" i="50"/>
  <c r="AX29" i="50"/>
  <c r="AR29" i="50"/>
  <c r="AY29" i="50"/>
  <c r="AT29" i="50"/>
  <c r="AM29" i="50"/>
  <c r="AC29" i="50"/>
  <c r="AJ29" i="50"/>
  <c r="AZ29" i="50"/>
  <c r="AS29" i="50"/>
  <c r="AB29" i="50"/>
  <c r="AU29" i="50"/>
  <c r="BA29" i="50"/>
  <c r="AI29" i="50"/>
  <c r="AK29" i="50"/>
  <c r="AE29" i="50"/>
  <c r="AO29" i="50"/>
  <c r="AV29" i="50"/>
  <c r="AA29" i="50"/>
  <c r="AL29" i="50"/>
  <c r="AP29" i="50"/>
  <c r="AQ29" i="50"/>
  <c r="AG29" i="50"/>
  <c r="AD29" i="50"/>
  <c r="AF29" i="50"/>
  <c r="AW29" i="50"/>
  <c r="AH29" i="50"/>
  <c r="AQ30" i="50"/>
  <c r="AB30" i="50"/>
  <c r="AL30" i="50"/>
  <c r="AA30" i="50"/>
  <c r="AT30" i="50"/>
  <c r="AR30" i="50"/>
  <c r="AU30" i="50"/>
  <c r="AC30" i="50"/>
  <c r="AM30" i="50"/>
  <c r="AD30" i="50"/>
  <c r="AV30" i="50"/>
  <c r="AY30" i="50"/>
  <c r="AE30" i="50"/>
  <c r="AH30" i="50"/>
  <c r="AW30" i="50"/>
  <c r="AZ30" i="50"/>
  <c r="AO30" i="50"/>
  <c r="AK30" i="50"/>
  <c r="AS30" i="50"/>
  <c r="AF30" i="50"/>
  <c r="AI30" i="50"/>
  <c r="AP30" i="50"/>
  <c r="AX30" i="50"/>
  <c r="BA30" i="50"/>
  <c r="AG30" i="50"/>
  <c r="AJ30" i="50"/>
  <c r="F25" i="50"/>
  <c r="P32" i="55"/>
  <c r="C24" i="50"/>
  <c r="D24" i="50" s="1"/>
  <c r="C23" i="50"/>
  <c r="D23" i="50" s="1"/>
  <c r="B16" i="50"/>
  <c r="D16" i="50" s="1"/>
  <c r="B21" i="50"/>
  <c r="D21" i="50" s="1"/>
  <c r="C12" i="50"/>
  <c r="D12" i="50" s="1"/>
  <c r="B10" i="50"/>
  <c r="D10" i="50" s="1"/>
  <c r="C7" i="50"/>
  <c r="D7" i="50" s="1"/>
  <c r="B15" i="50"/>
  <c r="D15" i="50" s="1"/>
  <c r="C14" i="50"/>
  <c r="D14" i="50" s="1"/>
  <c r="C18" i="50"/>
  <c r="D18" i="50" s="1"/>
  <c r="B22" i="50"/>
  <c r="D22" i="50" s="1"/>
  <c r="B13" i="50"/>
  <c r="D13" i="50" s="1"/>
  <c r="B8" i="50"/>
  <c r="D8" i="50" s="1"/>
  <c r="C20" i="50"/>
  <c r="D20" i="50" s="1"/>
  <c r="C19" i="50"/>
  <c r="D19" i="50" s="1"/>
  <c r="C11" i="50"/>
  <c r="D11" i="50" s="1"/>
  <c r="C17" i="50"/>
  <c r="D17" i="50" s="1"/>
  <c r="C9" i="50"/>
  <c r="D9" i="50" s="1"/>
  <c r="B6" i="50"/>
  <c r="D6" i="50" s="1"/>
  <c r="C5" i="50"/>
  <c r="D5" i="50" s="1"/>
  <c r="C4" i="50"/>
  <c r="D4" i="50" s="1"/>
  <c r="C3" i="50"/>
  <c r="D3" i="50" s="1"/>
  <c r="C2" i="50"/>
  <c r="D31" i="29"/>
  <c r="H12" i="50"/>
  <c r="H14" i="50"/>
  <c r="L18" i="50"/>
  <c r="H7" i="50"/>
  <c r="L12" i="50"/>
  <c r="Y24" i="50"/>
  <c r="H17" i="50"/>
  <c r="Y7" i="50"/>
  <c r="L15" i="50"/>
  <c r="J7" i="50"/>
  <c r="K9" i="50"/>
  <c r="L17" i="50"/>
  <c r="H6" i="50"/>
  <c r="Y5" i="50"/>
  <c r="Y22" i="50"/>
  <c r="H13" i="50"/>
  <c r="H8" i="50"/>
  <c r="J20" i="50"/>
  <c r="L19" i="50"/>
  <c r="K21" i="50"/>
  <c r="H4" i="50"/>
  <c r="L23" i="50"/>
  <c r="K16" i="50"/>
  <c r="I11" i="50"/>
  <c r="AP25" i="50" l="1"/>
  <c r="AS25" i="50"/>
  <c r="AW25" i="50"/>
  <c r="AU25" i="50"/>
  <c r="AO25" i="50"/>
  <c r="AD25" i="50"/>
  <c r="AB25" i="50"/>
  <c r="AZ25" i="50"/>
  <c r="AM25" i="50"/>
  <c r="AI25" i="50"/>
  <c r="AF25" i="50"/>
  <c r="AK25" i="50"/>
  <c r="AJ25" i="50"/>
  <c r="AR25" i="50"/>
  <c r="AA25" i="50"/>
  <c r="AQ25" i="50"/>
  <c r="BA25" i="50"/>
  <c r="AV25" i="50"/>
  <c r="AY25" i="50"/>
  <c r="AE25" i="50"/>
  <c r="AX25" i="50"/>
  <c r="AT25" i="50"/>
  <c r="AH25" i="50"/>
  <c r="AG25" i="50"/>
  <c r="AL25" i="50"/>
  <c r="AC25" i="50"/>
  <c r="AP17" i="50"/>
  <c r="BA17" i="50"/>
  <c r="AQ17" i="50"/>
  <c r="AR17" i="50"/>
  <c r="AS17" i="50"/>
  <c r="AT17" i="50"/>
  <c r="AU17" i="50"/>
  <c r="AV17" i="50"/>
  <c r="AW17" i="50"/>
  <c r="AX17" i="50"/>
  <c r="AY17" i="50"/>
  <c r="AZ17" i="50"/>
  <c r="AP14" i="50"/>
  <c r="BA14" i="50"/>
  <c r="AQ14" i="50"/>
  <c r="AR14" i="50"/>
  <c r="AS14" i="50"/>
  <c r="AT14" i="50"/>
  <c r="AU14" i="50"/>
  <c r="AV14" i="50"/>
  <c r="AW14" i="50"/>
  <c r="AZ14" i="50"/>
  <c r="AX14" i="50"/>
  <c r="AY14" i="50"/>
  <c r="AO17" i="50"/>
  <c r="AO14" i="50"/>
  <c r="F7" i="50"/>
  <c r="F21" i="50"/>
  <c r="F14" i="50"/>
  <c r="F23" i="50"/>
  <c r="F13" i="50"/>
  <c r="F19" i="50"/>
  <c r="F16" i="50"/>
  <c r="F10" i="50"/>
  <c r="F12" i="50"/>
  <c r="F8" i="50"/>
  <c r="F15" i="50"/>
  <c r="F22" i="50"/>
  <c r="F17" i="50"/>
  <c r="F24" i="50"/>
  <c r="F20" i="50"/>
  <c r="F9" i="50"/>
  <c r="F18" i="50"/>
  <c r="F11" i="50"/>
  <c r="F6" i="50"/>
  <c r="F5" i="50"/>
  <c r="F4" i="50"/>
  <c r="F3" i="50"/>
  <c r="D2" i="50"/>
  <c r="V148" i="49"/>
  <c r="G148" i="49"/>
  <c r="F148" i="49"/>
  <c r="E148" i="49"/>
  <c r="B148" i="49"/>
  <c r="I134" i="49"/>
  <c r="H134" i="49"/>
  <c r="U148" i="49" s="1"/>
  <c r="D134" i="49"/>
  <c r="R148" i="49" s="1"/>
  <c r="K130" i="49"/>
  <c r="J134" i="49" s="1"/>
  <c r="T148" i="49" s="1"/>
  <c r="F125" i="49"/>
  <c r="F119" i="49"/>
  <c r="F113" i="49"/>
  <c r="G134" i="49" s="1"/>
  <c r="S148" i="49" s="1"/>
  <c r="R112" i="49"/>
  <c r="L112" i="49"/>
  <c r="R111" i="49"/>
  <c r="L111" i="49"/>
  <c r="R110" i="49"/>
  <c r="L110" i="49"/>
  <c r="R109" i="49"/>
  <c r="L109" i="49"/>
  <c r="R108" i="49"/>
  <c r="L108" i="49"/>
  <c r="R107" i="49"/>
  <c r="L107" i="49"/>
  <c r="R106" i="49"/>
  <c r="L106" i="49"/>
  <c r="R105" i="49"/>
  <c r="L105" i="49"/>
  <c r="R104" i="49"/>
  <c r="L104" i="49"/>
  <c r="R103" i="49"/>
  <c r="L103" i="49"/>
  <c r="R102" i="49"/>
  <c r="L102" i="49"/>
  <c r="R101" i="49"/>
  <c r="L101" i="49"/>
  <c r="L113" i="49" s="1"/>
  <c r="P97" i="49"/>
  <c r="O97" i="49"/>
  <c r="F97" i="49"/>
  <c r="F134" i="49" s="1"/>
  <c r="K148" i="49" s="1"/>
  <c r="P96" i="49"/>
  <c r="O96" i="49"/>
  <c r="P95" i="49"/>
  <c r="O95" i="49"/>
  <c r="P94" i="49"/>
  <c r="O94" i="49"/>
  <c r="P93" i="49"/>
  <c r="O93" i="49"/>
  <c r="P92" i="49"/>
  <c r="O92" i="49"/>
  <c r="P91" i="49"/>
  <c r="O91" i="49"/>
  <c r="P90" i="49"/>
  <c r="O90" i="49"/>
  <c r="P89" i="49"/>
  <c r="O89" i="49"/>
  <c r="P88" i="49"/>
  <c r="O88" i="49"/>
  <c r="P87" i="49"/>
  <c r="O87" i="49"/>
  <c r="P86" i="49"/>
  <c r="O86" i="49"/>
  <c r="P85" i="49"/>
  <c r="O85" i="49"/>
  <c r="F81" i="49"/>
  <c r="E134" i="49" s="1"/>
  <c r="J148" i="49" s="1"/>
  <c r="R80" i="49"/>
  <c r="Q80" i="49"/>
  <c r="R79" i="49"/>
  <c r="Q79" i="49"/>
  <c r="R78" i="49"/>
  <c r="Q78" i="49"/>
  <c r="R77" i="49"/>
  <c r="Q77" i="49"/>
  <c r="R76" i="49"/>
  <c r="Q76" i="49"/>
  <c r="R75" i="49"/>
  <c r="Q75" i="49"/>
  <c r="R74" i="49"/>
  <c r="Q74" i="49"/>
  <c r="R73" i="49"/>
  <c r="Q73" i="49"/>
  <c r="R72" i="49"/>
  <c r="Q72" i="49"/>
  <c r="R71" i="49"/>
  <c r="Q71" i="49"/>
  <c r="R70" i="49"/>
  <c r="Q70" i="49"/>
  <c r="Q68" i="49"/>
  <c r="L68" i="49"/>
  <c r="F65" i="49"/>
  <c r="R64" i="49"/>
  <c r="Q64" i="49"/>
  <c r="R63" i="49"/>
  <c r="Q63" i="49"/>
  <c r="R62" i="49"/>
  <c r="Q62" i="49"/>
  <c r="R61" i="49"/>
  <c r="Q61" i="49"/>
  <c r="R60" i="49"/>
  <c r="Q60" i="49"/>
  <c r="R59" i="49"/>
  <c r="Q59" i="49"/>
  <c r="R58" i="49"/>
  <c r="Q58" i="49"/>
  <c r="R57" i="49"/>
  <c r="Q57" i="49"/>
  <c r="R56" i="49"/>
  <c r="Q56" i="49"/>
  <c r="R55" i="49"/>
  <c r="Q55" i="49"/>
  <c r="R54" i="49"/>
  <c r="Q54" i="49"/>
  <c r="R50" i="49"/>
  <c r="K50" i="49"/>
  <c r="C134" i="49" s="1"/>
  <c r="I148" i="49" s="1"/>
  <c r="R49" i="49"/>
  <c r="Q49" i="49"/>
  <c r="L49" i="49"/>
  <c r="R48" i="49"/>
  <c r="Q48" i="49"/>
  <c r="L48" i="49"/>
  <c r="R47" i="49"/>
  <c r="Q47" i="49"/>
  <c r="L47" i="49"/>
  <c r="R46" i="49"/>
  <c r="Q46" i="49"/>
  <c r="L46" i="49"/>
  <c r="R45" i="49"/>
  <c r="Q45" i="49"/>
  <c r="L45" i="49"/>
  <c r="R44" i="49"/>
  <c r="Q44" i="49"/>
  <c r="L44" i="49"/>
  <c r="R43" i="49"/>
  <c r="Q43" i="49"/>
  <c r="L43" i="49"/>
  <c r="R42" i="49"/>
  <c r="Q42" i="49"/>
  <c r="L42" i="49"/>
  <c r="R41" i="49"/>
  <c r="Q41" i="49"/>
  <c r="L41" i="49"/>
  <c r="R40" i="49"/>
  <c r="Q40" i="49"/>
  <c r="L40" i="49"/>
  <c r="R39" i="49"/>
  <c r="Q39" i="49"/>
  <c r="L39" i="49"/>
  <c r="R38" i="49"/>
  <c r="Q38" i="49"/>
  <c r="L38" i="49"/>
  <c r="R37" i="49"/>
  <c r="Q37" i="49"/>
  <c r="Q50" i="49" s="1"/>
  <c r="L37" i="49"/>
  <c r="L50" i="49" s="1"/>
  <c r="M50" i="49" s="1"/>
  <c r="L35" i="49"/>
  <c r="I35" i="49"/>
  <c r="K32" i="49"/>
  <c r="B134" i="49" s="1"/>
  <c r="J32" i="49"/>
  <c r="Q31" i="49"/>
  <c r="N31" i="49"/>
  <c r="M31" i="49"/>
  <c r="L31" i="49"/>
  <c r="D31" i="49"/>
  <c r="M30" i="49"/>
  <c r="L30" i="49"/>
  <c r="Q30" i="49" s="1"/>
  <c r="N30" i="49" s="1"/>
  <c r="D30" i="49"/>
  <c r="Q29" i="49"/>
  <c r="N29" i="49" s="1"/>
  <c r="M29" i="49"/>
  <c r="L29" i="49"/>
  <c r="D29" i="49"/>
  <c r="Q28" i="49"/>
  <c r="N28" i="49"/>
  <c r="M28" i="49"/>
  <c r="L28" i="49"/>
  <c r="D28" i="49"/>
  <c r="M27" i="49"/>
  <c r="L27" i="49"/>
  <c r="Q27" i="49" s="1"/>
  <c r="N27" i="49" s="1"/>
  <c r="D27" i="49"/>
  <c r="Q26" i="49"/>
  <c r="N26" i="49" s="1"/>
  <c r="M26" i="49"/>
  <c r="L26" i="49"/>
  <c r="D26" i="49"/>
  <c r="Q25" i="49"/>
  <c r="N25" i="49"/>
  <c r="M25" i="49"/>
  <c r="L25" i="49"/>
  <c r="D25" i="49"/>
  <c r="M24" i="49"/>
  <c r="L24" i="49"/>
  <c r="Q24" i="49" s="1"/>
  <c r="N24" i="49" s="1"/>
  <c r="D24" i="49"/>
  <c r="Q23" i="49"/>
  <c r="N23" i="49" s="1"/>
  <c r="M23" i="49"/>
  <c r="L23" i="49"/>
  <c r="D23" i="49"/>
  <c r="Q21" i="49"/>
  <c r="N21" i="49"/>
  <c r="M21" i="49"/>
  <c r="L21" i="49"/>
  <c r="F21" i="49"/>
  <c r="D21" i="49"/>
  <c r="M20" i="49"/>
  <c r="L20" i="49"/>
  <c r="Q20" i="49" s="1"/>
  <c r="N20" i="49" s="1"/>
  <c r="F20" i="49"/>
  <c r="D20" i="49"/>
  <c r="Q19" i="49"/>
  <c r="N19" i="49" s="1"/>
  <c r="M19" i="49"/>
  <c r="L19" i="49"/>
  <c r="F19" i="49"/>
  <c r="D19" i="49"/>
  <c r="Q18" i="49"/>
  <c r="N18" i="49" s="1"/>
  <c r="M18" i="49"/>
  <c r="L18" i="49"/>
  <c r="F18" i="49"/>
  <c r="D18" i="49"/>
  <c r="Q17" i="49"/>
  <c r="N17" i="49"/>
  <c r="M17" i="49"/>
  <c r="L17" i="49"/>
  <c r="F17" i="49"/>
  <c r="D17" i="49"/>
  <c r="M16" i="49"/>
  <c r="L16" i="49"/>
  <c r="Q16" i="49" s="1"/>
  <c r="N16" i="49" s="1"/>
  <c r="F16" i="49"/>
  <c r="D16" i="49"/>
  <c r="Q15" i="49"/>
  <c r="N15" i="49" s="1"/>
  <c r="M15" i="49"/>
  <c r="L15" i="49"/>
  <c r="F15" i="49"/>
  <c r="D15" i="49"/>
  <c r="M14" i="49"/>
  <c r="L14" i="49"/>
  <c r="Q14" i="49" s="1"/>
  <c r="N14" i="49" s="1"/>
  <c r="F14" i="49"/>
  <c r="D14" i="49"/>
  <c r="M13" i="49"/>
  <c r="L13" i="49"/>
  <c r="Q13" i="49" s="1"/>
  <c r="N13" i="49" s="1"/>
  <c r="F13" i="49"/>
  <c r="D13" i="49"/>
  <c r="M12" i="49"/>
  <c r="L12" i="49"/>
  <c r="F12" i="49"/>
  <c r="D12" i="49"/>
  <c r="J8" i="49"/>
  <c r="I8" i="49"/>
  <c r="H8" i="49"/>
  <c r="D148" i="49" s="1"/>
  <c r="D8" i="49"/>
  <c r="C148" i="49" s="1"/>
  <c r="A8" i="49"/>
  <c r="A148" i="49" s="1"/>
  <c r="H5" i="49"/>
  <c r="K140" i="49" s="1"/>
  <c r="V148" i="47"/>
  <c r="S148" i="47"/>
  <c r="G148" i="47"/>
  <c r="F148" i="47"/>
  <c r="B148" i="47"/>
  <c r="I134" i="47"/>
  <c r="G134" i="47"/>
  <c r="F134" i="47"/>
  <c r="K148" i="47" s="1"/>
  <c r="K130" i="47"/>
  <c r="J134" i="47" s="1"/>
  <c r="F125" i="47"/>
  <c r="F119" i="47"/>
  <c r="H134" i="47" s="1"/>
  <c r="U148" i="47" s="1"/>
  <c r="F113" i="47"/>
  <c r="R112" i="47"/>
  <c r="L112" i="47"/>
  <c r="R111" i="47"/>
  <c r="L111" i="47"/>
  <c r="R110" i="47"/>
  <c r="L110" i="47"/>
  <c r="R109" i="47"/>
  <c r="L109" i="47"/>
  <c r="R108" i="47"/>
  <c r="L108" i="47"/>
  <c r="R107" i="47"/>
  <c r="L107" i="47"/>
  <c r="R106" i="47"/>
  <c r="L106" i="47"/>
  <c r="R105" i="47"/>
  <c r="L105" i="47"/>
  <c r="R104" i="47"/>
  <c r="L104" i="47"/>
  <c r="R103" i="47"/>
  <c r="L103" i="47"/>
  <c r="R102" i="47"/>
  <c r="L102" i="47"/>
  <c r="R101" i="47"/>
  <c r="L101" i="47"/>
  <c r="L113" i="47" s="1"/>
  <c r="P97" i="47"/>
  <c r="O97" i="47"/>
  <c r="F97" i="47"/>
  <c r="P96" i="47"/>
  <c r="O96" i="47"/>
  <c r="P95" i="47"/>
  <c r="O95" i="47"/>
  <c r="P94" i="47"/>
  <c r="O94" i="47"/>
  <c r="P93" i="47"/>
  <c r="O93" i="47"/>
  <c r="P92" i="47"/>
  <c r="O92" i="47"/>
  <c r="P91" i="47"/>
  <c r="O91" i="47"/>
  <c r="P90" i="47"/>
  <c r="O90" i="47"/>
  <c r="P89" i="47"/>
  <c r="O89" i="47"/>
  <c r="P88" i="47"/>
  <c r="O88" i="47"/>
  <c r="P87" i="47"/>
  <c r="O87" i="47"/>
  <c r="P86" i="47"/>
  <c r="O86" i="47"/>
  <c r="P85" i="47"/>
  <c r="O85" i="47"/>
  <c r="F81" i="47"/>
  <c r="E134" i="47" s="1"/>
  <c r="J148" i="47" s="1"/>
  <c r="R80" i="47"/>
  <c r="Q80" i="47"/>
  <c r="R79" i="47"/>
  <c r="Q79" i="47"/>
  <c r="R78" i="47"/>
  <c r="Q78" i="47"/>
  <c r="R77" i="47"/>
  <c r="Q77" i="47"/>
  <c r="R76" i="47"/>
  <c r="Q76" i="47"/>
  <c r="R75" i="47"/>
  <c r="Q75" i="47"/>
  <c r="R74" i="47"/>
  <c r="Q74" i="47"/>
  <c r="R73" i="47"/>
  <c r="Q73" i="47"/>
  <c r="R72" i="47"/>
  <c r="Q72" i="47"/>
  <c r="R71" i="47"/>
  <c r="Q71" i="47"/>
  <c r="R70" i="47"/>
  <c r="Q70" i="47"/>
  <c r="Q68" i="47"/>
  <c r="L68" i="47"/>
  <c r="F65" i="47"/>
  <c r="D134" i="47" s="1"/>
  <c r="R148" i="47" s="1"/>
  <c r="R64" i="47"/>
  <c r="Q64" i="47"/>
  <c r="R63" i="47"/>
  <c r="Q63" i="47"/>
  <c r="R62" i="47"/>
  <c r="Q62" i="47"/>
  <c r="R61" i="47"/>
  <c r="Q61" i="47"/>
  <c r="R60" i="47"/>
  <c r="Q60" i="47"/>
  <c r="R59" i="47"/>
  <c r="Q59" i="47"/>
  <c r="R58" i="47"/>
  <c r="Q58" i="47"/>
  <c r="R57" i="47"/>
  <c r="Q57" i="47"/>
  <c r="R56" i="47"/>
  <c r="Q56" i="47"/>
  <c r="R55" i="47"/>
  <c r="Q55" i="47"/>
  <c r="R54" i="47"/>
  <c r="Q54" i="47"/>
  <c r="K50" i="47"/>
  <c r="C134" i="47" s="1"/>
  <c r="I148" i="47" s="1"/>
  <c r="R49" i="47"/>
  <c r="Q49" i="47"/>
  <c r="L49" i="47"/>
  <c r="R48" i="47"/>
  <c r="Q48" i="47"/>
  <c r="L48" i="47"/>
  <c r="R47" i="47"/>
  <c r="Q47" i="47"/>
  <c r="L47" i="47"/>
  <c r="R46" i="47"/>
  <c r="Q46" i="47"/>
  <c r="L46" i="47"/>
  <c r="R45" i="47"/>
  <c r="Q45" i="47"/>
  <c r="L45" i="47"/>
  <c r="R44" i="47"/>
  <c r="Q44" i="47"/>
  <c r="L44" i="47"/>
  <c r="R43" i="47"/>
  <c r="Q43" i="47"/>
  <c r="L43" i="47"/>
  <c r="R42" i="47"/>
  <c r="Q42" i="47"/>
  <c r="L42" i="47"/>
  <c r="R41" i="47"/>
  <c r="Q41" i="47"/>
  <c r="L41" i="47"/>
  <c r="R40" i="47"/>
  <c r="Q40" i="47"/>
  <c r="L40" i="47"/>
  <c r="R39" i="47"/>
  <c r="Q39" i="47"/>
  <c r="L39" i="47"/>
  <c r="L50" i="47" s="1"/>
  <c r="M50" i="47" s="1"/>
  <c r="R38" i="47"/>
  <c r="Q38" i="47"/>
  <c r="Q50" i="47" s="1"/>
  <c r="L38" i="47"/>
  <c r="R37" i="47"/>
  <c r="R50" i="47" s="1"/>
  <c r="Q37" i="47"/>
  <c r="L37" i="47"/>
  <c r="L35" i="47"/>
  <c r="M35" i="47" s="1"/>
  <c r="I35" i="47"/>
  <c r="K32" i="47"/>
  <c r="B134" i="47" s="1"/>
  <c r="H148" i="47" s="1"/>
  <c r="J32" i="47"/>
  <c r="Q31" i="47"/>
  <c r="N31" i="47" s="1"/>
  <c r="M31" i="47"/>
  <c r="L31" i="47"/>
  <c r="D31" i="47"/>
  <c r="M30" i="47"/>
  <c r="L30" i="47"/>
  <c r="Q30" i="47" s="1"/>
  <c r="N30" i="47" s="1"/>
  <c r="D30" i="47"/>
  <c r="Q29" i="47"/>
  <c r="N29" i="47" s="1"/>
  <c r="M29" i="47"/>
  <c r="L29" i="47"/>
  <c r="D29" i="47"/>
  <c r="Q28" i="47"/>
  <c r="N28" i="47" s="1"/>
  <c r="M28" i="47"/>
  <c r="L28" i="47"/>
  <c r="D28" i="47"/>
  <c r="M27" i="47"/>
  <c r="L27" i="47"/>
  <c r="Q27" i="47" s="1"/>
  <c r="N27" i="47" s="1"/>
  <c r="D27" i="47"/>
  <c r="Q26" i="47"/>
  <c r="N26" i="47" s="1"/>
  <c r="M26" i="47"/>
  <c r="L26" i="47"/>
  <c r="D26" i="47"/>
  <c r="Q25" i="47"/>
  <c r="N25" i="47" s="1"/>
  <c r="M25" i="47"/>
  <c r="L25" i="47"/>
  <c r="D25" i="47"/>
  <c r="M24" i="47"/>
  <c r="L24" i="47"/>
  <c r="Q24" i="47" s="1"/>
  <c r="N24" i="47" s="1"/>
  <c r="D24" i="47"/>
  <c r="Q23" i="47"/>
  <c r="N23" i="47" s="1"/>
  <c r="M23" i="47"/>
  <c r="L23" i="47"/>
  <c r="D23" i="47"/>
  <c r="Q21" i="47"/>
  <c r="N21" i="47" s="1"/>
  <c r="M21" i="47"/>
  <c r="L21" i="47"/>
  <c r="F21" i="47"/>
  <c r="D21" i="47"/>
  <c r="M20" i="47"/>
  <c r="L20" i="47"/>
  <c r="Q20" i="47" s="1"/>
  <c r="N20" i="47" s="1"/>
  <c r="F20" i="47"/>
  <c r="D20" i="47"/>
  <c r="Q19" i="47"/>
  <c r="N19" i="47" s="1"/>
  <c r="M19" i="47"/>
  <c r="L19" i="47"/>
  <c r="F19" i="47"/>
  <c r="D19" i="47"/>
  <c r="M18" i="47"/>
  <c r="L18" i="47"/>
  <c r="Q18" i="47" s="1"/>
  <c r="N18" i="47" s="1"/>
  <c r="F18" i="47"/>
  <c r="D18" i="47"/>
  <c r="Q17" i="47"/>
  <c r="N17" i="47"/>
  <c r="M17" i="47"/>
  <c r="L17" i="47"/>
  <c r="F17" i="47"/>
  <c r="D17" i="47"/>
  <c r="M16" i="47"/>
  <c r="L16" i="47"/>
  <c r="Q16" i="47" s="1"/>
  <c r="N16" i="47" s="1"/>
  <c r="F16" i="47"/>
  <c r="D16" i="47"/>
  <c r="Q15" i="47"/>
  <c r="N15" i="47" s="1"/>
  <c r="M15" i="47"/>
  <c r="L15" i="47"/>
  <c r="F15" i="47"/>
  <c r="D15" i="47"/>
  <c r="M14" i="47"/>
  <c r="L14" i="47"/>
  <c r="Q14" i="47" s="1"/>
  <c r="N14" i="47" s="1"/>
  <c r="F14" i="47"/>
  <c r="D14" i="47"/>
  <c r="Q13" i="47"/>
  <c r="N13" i="47" s="1"/>
  <c r="M13" i="47"/>
  <c r="L13" i="47"/>
  <c r="F13" i="47"/>
  <c r="D13" i="47"/>
  <c r="M12" i="47"/>
  <c r="L12" i="47"/>
  <c r="Q12" i="47" s="1"/>
  <c r="N12" i="47" s="1"/>
  <c r="F12" i="47"/>
  <c r="D12" i="47"/>
  <c r="J8" i="47"/>
  <c r="I8" i="47"/>
  <c r="E148" i="47" s="1"/>
  <c r="H8" i="47"/>
  <c r="D148" i="47" s="1"/>
  <c r="D8" i="47"/>
  <c r="C148" i="47" s="1"/>
  <c r="A8" i="47"/>
  <c r="A148" i="47" s="1"/>
  <c r="H5" i="47"/>
  <c r="K140" i="47" s="1"/>
  <c r="G148" i="46"/>
  <c r="F148" i="46"/>
  <c r="B148" i="46"/>
  <c r="I134" i="46"/>
  <c r="V148" i="46" s="1"/>
  <c r="H134" i="46"/>
  <c r="U148" i="46" s="1"/>
  <c r="F134" i="46"/>
  <c r="K148" i="46" s="1"/>
  <c r="K130" i="46"/>
  <c r="J134" i="46" s="1"/>
  <c r="T148" i="46" s="1"/>
  <c r="F125" i="46"/>
  <c r="F119" i="46"/>
  <c r="F113" i="46"/>
  <c r="G134" i="46" s="1"/>
  <c r="S148" i="46" s="1"/>
  <c r="R112" i="46"/>
  <c r="L112" i="46"/>
  <c r="R111" i="46"/>
  <c r="L111" i="46"/>
  <c r="R110" i="46"/>
  <c r="L110" i="46"/>
  <c r="R109" i="46"/>
  <c r="L109" i="46"/>
  <c r="R108" i="46"/>
  <c r="L108" i="46"/>
  <c r="R107" i="46"/>
  <c r="L107" i="46"/>
  <c r="R106" i="46"/>
  <c r="L106" i="46"/>
  <c r="R105" i="46"/>
  <c r="L105" i="46"/>
  <c r="R104" i="46"/>
  <c r="L104" i="46"/>
  <c r="R103" i="46"/>
  <c r="L103" i="46"/>
  <c r="R102" i="46"/>
  <c r="L102" i="46"/>
  <c r="R101" i="46"/>
  <c r="L101" i="46"/>
  <c r="P97" i="46"/>
  <c r="O97" i="46"/>
  <c r="F97" i="46"/>
  <c r="P96" i="46"/>
  <c r="O96" i="46"/>
  <c r="P95" i="46"/>
  <c r="O95" i="46"/>
  <c r="P94" i="46"/>
  <c r="O94" i="46"/>
  <c r="P93" i="46"/>
  <c r="O93" i="46"/>
  <c r="P92" i="46"/>
  <c r="O92" i="46"/>
  <c r="P91" i="46"/>
  <c r="O91" i="46"/>
  <c r="P90" i="46"/>
  <c r="O90" i="46"/>
  <c r="P89" i="46"/>
  <c r="O89" i="46"/>
  <c r="P88" i="46"/>
  <c r="O88" i="46"/>
  <c r="P87" i="46"/>
  <c r="O87" i="46"/>
  <c r="P86" i="46"/>
  <c r="O86" i="46"/>
  <c r="P85" i="46"/>
  <c r="O85" i="46"/>
  <c r="F81" i="46"/>
  <c r="E134" i="46" s="1"/>
  <c r="J148" i="46" s="1"/>
  <c r="R80" i="46"/>
  <c r="Q80" i="46"/>
  <c r="R79" i="46"/>
  <c r="Q79" i="46"/>
  <c r="R78" i="46"/>
  <c r="Q78" i="46"/>
  <c r="R77" i="46"/>
  <c r="Q77" i="46"/>
  <c r="R76" i="46"/>
  <c r="Q76" i="46"/>
  <c r="R75" i="46"/>
  <c r="Q75" i="46"/>
  <c r="R74" i="46"/>
  <c r="Q74" i="46"/>
  <c r="R73" i="46"/>
  <c r="Q73" i="46"/>
  <c r="R72" i="46"/>
  <c r="Q72" i="46"/>
  <c r="R71" i="46"/>
  <c r="Q71" i="46"/>
  <c r="R70" i="46"/>
  <c r="Q70" i="46"/>
  <c r="Q68" i="46"/>
  <c r="L68" i="46"/>
  <c r="F65" i="46"/>
  <c r="D134" i="46" s="1"/>
  <c r="R148" i="46" s="1"/>
  <c r="R64" i="46"/>
  <c r="Q64" i="46"/>
  <c r="R63" i="46"/>
  <c r="Q63" i="46"/>
  <c r="R62" i="46"/>
  <c r="Q62" i="46"/>
  <c r="R61" i="46"/>
  <c r="Q61" i="46"/>
  <c r="R60" i="46"/>
  <c r="Q60" i="46"/>
  <c r="R59" i="46"/>
  <c r="Q59" i="46"/>
  <c r="R58" i="46"/>
  <c r="Q58" i="46"/>
  <c r="R57" i="46"/>
  <c r="Q57" i="46"/>
  <c r="R56" i="46"/>
  <c r="Q56" i="46"/>
  <c r="R55" i="46"/>
  <c r="Q55" i="46"/>
  <c r="R54" i="46"/>
  <c r="Q54" i="46"/>
  <c r="K50" i="46"/>
  <c r="C134" i="46" s="1"/>
  <c r="I148" i="46" s="1"/>
  <c r="R49" i="46"/>
  <c r="Q49" i="46"/>
  <c r="L49" i="46"/>
  <c r="R48" i="46"/>
  <c r="Q48" i="46"/>
  <c r="L48" i="46"/>
  <c r="R47" i="46"/>
  <c r="Q47" i="46"/>
  <c r="L47" i="46"/>
  <c r="R46" i="46"/>
  <c r="Q46" i="46"/>
  <c r="L46" i="46"/>
  <c r="R45" i="46"/>
  <c r="Q45" i="46"/>
  <c r="L45" i="46"/>
  <c r="R44" i="46"/>
  <c r="Q44" i="46"/>
  <c r="L44" i="46"/>
  <c r="R43" i="46"/>
  <c r="Q43" i="46"/>
  <c r="L43" i="46"/>
  <c r="R42" i="46"/>
  <c r="Q42" i="46"/>
  <c r="L42" i="46"/>
  <c r="R41" i="46"/>
  <c r="Q41" i="46"/>
  <c r="L41" i="46"/>
  <c r="R40" i="46"/>
  <c r="Q40" i="46"/>
  <c r="L40" i="46"/>
  <c r="R39" i="46"/>
  <c r="Q39" i="46"/>
  <c r="L39" i="46"/>
  <c r="R38" i="46"/>
  <c r="Q38" i="46"/>
  <c r="L38" i="46"/>
  <c r="R37" i="46"/>
  <c r="Q37" i="46"/>
  <c r="L37" i="46"/>
  <c r="L35" i="46"/>
  <c r="I35" i="46"/>
  <c r="K32" i="46"/>
  <c r="B134" i="46" s="1"/>
  <c r="H148" i="46" s="1"/>
  <c r="J32" i="46"/>
  <c r="Q31" i="46"/>
  <c r="N31" i="46" s="1"/>
  <c r="M31" i="46"/>
  <c r="L31" i="46"/>
  <c r="D31" i="46"/>
  <c r="M30" i="46"/>
  <c r="L30" i="46"/>
  <c r="Q30" i="46" s="1"/>
  <c r="N30" i="46" s="1"/>
  <c r="D30" i="46"/>
  <c r="M29" i="46"/>
  <c r="L29" i="46"/>
  <c r="Q29" i="46" s="1"/>
  <c r="N29" i="46" s="1"/>
  <c r="D29" i="46"/>
  <c r="Q28" i="46"/>
  <c r="N28" i="46" s="1"/>
  <c r="M28" i="46"/>
  <c r="L28" i="46"/>
  <c r="D28" i="46"/>
  <c r="M27" i="46"/>
  <c r="L27" i="46"/>
  <c r="Q27" i="46" s="1"/>
  <c r="N27" i="46" s="1"/>
  <c r="D27" i="46"/>
  <c r="M26" i="46"/>
  <c r="L26" i="46"/>
  <c r="Q26" i="46" s="1"/>
  <c r="N26" i="46" s="1"/>
  <c r="D26" i="46"/>
  <c r="Q25" i="46"/>
  <c r="N25" i="46" s="1"/>
  <c r="M25" i="46"/>
  <c r="L25" i="46"/>
  <c r="D25" i="46"/>
  <c r="M24" i="46"/>
  <c r="L24" i="46"/>
  <c r="Q24" i="46" s="1"/>
  <c r="N24" i="46" s="1"/>
  <c r="D24" i="46"/>
  <c r="M23" i="46"/>
  <c r="L23" i="46"/>
  <c r="Q23" i="46" s="1"/>
  <c r="N23" i="46" s="1"/>
  <c r="D23" i="46"/>
  <c r="Q21" i="46"/>
  <c r="N21" i="46" s="1"/>
  <c r="M21" i="46"/>
  <c r="L21" i="46"/>
  <c r="F21" i="46"/>
  <c r="D21" i="46"/>
  <c r="M20" i="46"/>
  <c r="L20" i="46"/>
  <c r="Q20" i="46" s="1"/>
  <c r="N20" i="46" s="1"/>
  <c r="F20" i="46"/>
  <c r="D20" i="46"/>
  <c r="M19" i="46"/>
  <c r="L19" i="46"/>
  <c r="Q19" i="46" s="1"/>
  <c r="N19" i="46" s="1"/>
  <c r="F19" i="46"/>
  <c r="D19" i="46"/>
  <c r="Q18" i="46"/>
  <c r="N18" i="46"/>
  <c r="M18" i="46"/>
  <c r="L18" i="46"/>
  <c r="F18" i="46"/>
  <c r="D18" i="46"/>
  <c r="Q17" i="46"/>
  <c r="N17" i="46"/>
  <c r="M17" i="46"/>
  <c r="L17" i="46"/>
  <c r="F17" i="46"/>
  <c r="D17" i="46"/>
  <c r="M16" i="46"/>
  <c r="L16" i="46"/>
  <c r="Q16" i="46" s="1"/>
  <c r="N16" i="46" s="1"/>
  <c r="F16" i="46"/>
  <c r="D16" i="46"/>
  <c r="M15" i="46"/>
  <c r="L15" i="46"/>
  <c r="Q15" i="46" s="1"/>
  <c r="N15" i="46" s="1"/>
  <c r="F15" i="46"/>
  <c r="D15" i="46"/>
  <c r="Q14" i="46"/>
  <c r="N14" i="46"/>
  <c r="M14" i="46"/>
  <c r="L14" i="46"/>
  <c r="F14" i="46"/>
  <c r="D14" i="46"/>
  <c r="Q13" i="46"/>
  <c r="N13" i="46"/>
  <c r="M13" i="46"/>
  <c r="L13" i="46"/>
  <c r="F13" i="46"/>
  <c r="D13" i="46"/>
  <c r="M12" i="46"/>
  <c r="M32" i="46" s="1"/>
  <c r="L12" i="46"/>
  <c r="L32" i="46" s="1"/>
  <c r="F12" i="46"/>
  <c r="D12" i="46"/>
  <c r="J8" i="46"/>
  <c r="I8" i="46"/>
  <c r="E148" i="46" s="1"/>
  <c r="H8" i="46"/>
  <c r="D148" i="46" s="1"/>
  <c r="D8" i="46"/>
  <c r="C148" i="46" s="1"/>
  <c r="A8" i="46"/>
  <c r="A148" i="46" s="1"/>
  <c r="H5" i="46"/>
  <c r="K140" i="46" s="1"/>
  <c r="G148" i="45"/>
  <c r="F148" i="45"/>
  <c r="B148" i="45"/>
  <c r="I134" i="45"/>
  <c r="V148" i="45" s="1"/>
  <c r="F134" i="45"/>
  <c r="K148" i="45" s="1"/>
  <c r="K130" i="45"/>
  <c r="J134" i="45" s="1"/>
  <c r="T148" i="45" s="1"/>
  <c r="F125" i="45"/>
  <c r="F119" i="45"/>
  <c r="H134" i="45" s="1"/>
  <c r="U148" i="45" s="1"/>
  <c r="F113" i="45"/>
  <c r="G134" i="45" s="1"/>
  <c r="S148" i="45" s="1"/>
  <c r="R112" i="45"/>
  <c r="L112" i="45"/>
  <c r="R111" i="45"/>
  <c r="L111" i="45"/>
  <c r="R110" i="45"/>
  <c r="L110" i="45"/>
  <c r="R109" i="45"/>
  <c r="L109" i="45"/>
  <c r="R108" i="45"/>
  <c r="L108" i="45"/>
  <c r="R107" i="45"/>
  <c r="L107" i="45"/>
  <c r="R106" i="45"/>
  <c r="L106" i="45"/>
  <c r="R105" i="45"/>
  <c r="L105" i="45"/>
  <c r="R104" i="45"/>
  <c r="L104" i="45"/>
  <c r="R103" i="45"/>
  <c r="L103" i="45"/>
  <c r="R102" i="45"/>
  <c r="L102" i="45"/>
  <c r="R101" i="45"/>
  <c r="L101" i="45"/>
  <c r="P97" i="45"/>
  <c r="O97" i="45"/>
  <c r="F97" i="45"/>
  <c r="P96" i="45"/>
  <c r="O96" i="45"/>
  <c r="P95" i="45"/>
  <c r="O95" i="45"/>
  <c r="P94" i="45"/>
  <c r="O94" i="45"/>
  <c r="P93" i="45"/>
  <c r="O93" i="45"/>
  <c r="P92" i="45"/>
  <c r="O92" i="45"/>
  <c r="P91" i="45"/>
  <c r="O91" i="45"/>
  <c r="P90" i="45"/>
  <c r="O90" i="45"/>
  <c r="P89" i="45"/>
  <c r="O89" i="45"/>
  <c r="P88" i="45"/>
  <c r="O88" i="45"/>
  <c r="P87" i="45"/>
  <c r="O87" i="45"/>
  <c r="P86" i="45"/>
  <c r="O86" i="45"/>
  <c r="P85" i="45"/>
  <c r="O85" i="45"/>
  <c r="F81" i="45"/>
  <c r="E134" i="45" s="1"/>
  <c r="J148" i="45" s="1"/>
  <c r="R80" i="45"/>
  <c r="Q80" i="45"/>
  <c r="R79" i="45"/>
  <c r="Q79" i="45"/>
  <c r="R78" i="45"/>
  <c r="Q78" i="45"/>
  <c r="R77" i="45"/>
  <c r="Q77" i="45"/>
  <c r="R76" i="45"/>
  <c r="Q76" i="45"/>
  <c r="R75" i="45"/>
  <c r="Q75" i="45"/>
  <c r="R74" i="45"/>
  <c r="Q74" i="45"/>
  <c r="R73" i="45"/>
  <c r="Q73" i="45"/>
  <c r="R72" i="45"/>
  <c r="Q72" i="45"/>
  <c r="R71" i="45"/>
  <c r="Q71" i="45"/>
  <c r="R70" i="45"/>
  <c r="Q70" i="45"/>
  <c r="Q68" i="45"/>
  <c r="L68" i="45"/>
  <c r="F65" i="45"/>
  <c r="D134" i="45" s="1"/>
  <c r="R148" i="45" s="1"/>
  <c r="R64" i="45"/>
  <c r="Q64" i="45"/>
  <c r="R63" i="45"/>
  <c r="Q63" i="45"/>
  <c r="R62" i="45"/>
  <c r="Q62" i="45"/>
  <c r="R61" i="45"/>
  <c r="Q61" i="45"/>
  <c r="R60" i="45"/>
  <c r="Q60" i="45"/>
  <c r="R59" i="45"/>
  <c r="Q59" i="45"/>
  <c r="R58" i="45"/>
  <c r="Q58" i="45"/>
  <c r="R57" i="45"/>
  <c r="Q57" i="45"/>
  <c r="R56" i="45"/>
  <c r="Q56" i="45"/>
  <c r="R55" i="45"/>
  <c r="Q55" i="45"/>
  <c r="R54" i="45"/>
  <c r="Q54" i="45"/>
  <c r="K50" i="45"/>
  <c r="C134" i="45" s="1"/>
  <c r="I148" i="45" s="1"/>
  <c r="R49" i="45"/>
  <c r="Q49" i="45"/>
  <c r="L49" i="45"/>
  <c r="R48" i="45"/>
  <c r="Q48" i="45"/>
  <c r="L48" i="45"/>
  <c r="R47" i="45"/>
  <c r="Q47" i="45"/>
  <c r="L47" i="45"/>
  <c r="R46" i="45"/>
  <c r="Q46" i="45"/>
  <c r="L46" i="45"/>
  <c r="R45" i="45"/>
  <c r="Q45" i="45"/>
  <c r="L45" i="45"/>
  <c r="R44" i="45"/>
  <c r="Q44" i="45"/>
  <c r="L44" i="45"/>
  <c r="R43" i="45"/>
  <c r="Q43" i="45"/>
  <c r="L43" i="45"/>
  <c r="R42" i="45"/>
  <c r="Q42" i="45"/>
  <c r="L42" i="45"/>
  <c r="R41" i="45"/>
  <c r="Q41" i="45"/>
  <c r="L41" i="45"/>
  <c r="R40" i="45"/>
  <c r="Q40" i="45"/>
  <c r="L40" i="45"/>
  <c r="L50" i="45" s="1"/>
  <c r="M50" i="45" s="1"/>
  <c r="R39" i="45"/>
  <c r="Q39" i="45"/>
  <c r="L39" i="45"/>
  <c r="R38" i="45"/>
  <c r="Q38" i="45"/>
  <c r="L38" i="45"/>
  <c r="R37" i="45"/>
  <c r="R50" i="45" s="1"/>
  <c r="Q37" i="45"/>
  <c r="Q50" i="45" s="1"/>
  <c r="L37" i="45"/>
  <c r="L35" i="45"/>
  <c r="I35" i="45"/>
  <c r="K32" i="45"/>
  <c r="B134" i="45" s="1"/>
  <c r="J32" i="45"/>
  <c r="Q31" i="45"/>
  <c r="N31" i="45" s="1"/>
  <c r="M31" i="45"/>
  <c r="L31" i="45"/>
  <c r="D31" i="45"/>
  <c r="M30" i="45"/>
  <c r="L30" i="45"/>
  <c r="Q30" i="45" s="1"/>
  <c r="N30" i="45" s="1"/>
  <c r="D30" i="45"/>
  <c r="M29" i="45"/>
  <c r="L29" i="45"/>
  <c r="Q29" i="45" s="1"/>
  <c r="N29" i="45" s="1"/>
  <c r="D29" i="45"/>
  <c r="Q28" i="45"/>
  <c r="N28" i="45" s="1"/>
  <c r="M28" i="45"/>
  <c r="L28" i="45"/>
  <c r="D28" i="45"/>
  <c r="M27" i="45"/>
  <c r="L27" i="45"/>
  <c r="Q27" i="45" s="1"/>
  <c r="N27" i="45" s="1"/>
  <c r="D27" i="45"/>
  <c r="M26" i="45"/>
  <c r="L26" i="45"/>
  <c r="Q26" i="45" s="1"/>
  <c r="N26" i="45" s="1"/>
  <c r="D26" i="45"/>
  <c r="Q25" i="45"/>
  <c r="N25" i="45" s="1"/>
  <c r="M25" i="45"/>
  <c r="L25" i="45"/>
  <c r="D25" i="45"/>
  <c r="M24" i="45"/>
  <c r="L24" i="45"/>
  <c r="Q24" i="45" s="1"/>
  <c r="N24" i="45" s="1"/>
  <c r="D24" i="45"/>
  <c r="M23" i="45"/>
  <c r="L23" i="45"/>
  <c r="Q23" i="45" s="1"/>
  <c r="N23" i="45" s="1"/>
  <c r="D23" i="45"/>
  <c r="Q21" i="45"/>
  <c r="N21" i="45" s="1"/>
  <c r="M21" i="45"/>
  <c r="L21" i="45"/>
  <c r="F21" i="45"/>
  <c r="D21" i="45"/>
  <c r="M20" i="45"/>
  <c r="L20" i="45"/>
  <c r="Q20" i="45" s="1"/>
  <c r="N20" i="45" s="1"/>
  <c r="F20" i="45"/>
  <c r="D20" i="45"/>
  <c r="Q19" i="45"/>
  <c r="N19" i="45" s="1"/>
  <c r="M19" i="45"/>
  <c r="L19" i="45"/>
  <c r="F19" i="45"/>
  <c r="D19" i="45"/>
  <c r="Q18" i="45"/>
  <c r="N18" i="45"/>
  <c r="M18" i="45"/>
  <c r="L18" i="45"/>
  <c r="F18" i="45"/>
  <c r="D18" i="45"/>
  <c r="Q17" i="45"/>
  <c r="N17" i="45"/>
  <c r="M17" i="45"/>
  <c r="L17" i="45"/>
  <c r="F17" i="45"/>
  <c r="D17" i="45"/>
  <c r="M16" i="45"/>
  <c r="L16" i="45"/>
  <c r="Q16" i="45" s="1"/>
  <c r="N16" i="45" s="1"/>
  <c r="F16" i="45"/>
  <c r="D16" i="45"/>
  <c r="Q15" i="45"/>
  <c r="N15" i="45" s="1"/>
  <c r="M15" i="45"/>
  <c r="L15" i="45"/>
  <c r="F15" i="45"/>
  <c r="D15" i="45"/>
  <c r="M14" i="45"/>
  <c r="L14" i="45"/>
  <c r="Q14" i="45" s="1"/>
  <c r="N14" i="45" s="1"/>
  <c r="F14" i="45"/>
  <c r="D14" i="45"/>
  <c r="M13" i="45"/>
  <c r="L13" i="45"/>
  <c r="Q13" i="45" s="1"/>
  <c r="N13" i="45" s="1"/>
  <c r="F13" i="45"/>
  <c r="D13" i="45"/>
  <c r="M12" i="45"/>
  <c r="L12" i="45"/>
  <c r="F12" i="45"/>
  <c r="D12" i="45"/>
  <c r="J8" i="45"/>
  <c r="I8" i="45"/>
  <c r="E148" i="45" s="1"/>
  <c r="H8" i="45"/>
  <c r="D148" i="45" s="1"/>
  <c r="D8" i="45"/>
  <c r="C148" i="45" s="1"/>
  <c r="A8" i="45"/>
  <c r="A148" i="45" s="1"/>
  <c r="H5" i="45"/>
  <c r="K140" i="45" s="1"/>
  <c r="U148" i="44"/>
  <c r="G148" i="44"/>
  <c r="F148" i="44"/>
  <c r="B148" i="44"/>
  <c r="H134" i="44"/>
  <c r="F134" i="44"/>
  <c r="K148" i="44" s="1"/>
  <c r="K130" i="44"/>
  <c r="J134" i="44" s="1"/>
  <c r="T148" i="44" s="1"/>
  <c r="F125" i="44"/>
  <c r="I134" i="44" s="1"/>
  <c r="V148" i="44" s="1"/>
  <c r="F119" i="44"/>
  <c r="F113" i="44"/>
  <c r="G134" i="44" s="1"/>
  <c r="S148" i="44" s="1"/>
  <c r="R112" i="44"/>
  <c r="L112" i="44"/>
  <c r="R111" i="44"/>
  <c r="L111" i="44"/>
  <c r="R110" i="44"/>
  <c r="L110" i="44"/>
  <c r="R109" i="44"/>
  <c r="L109" i="44"/>
  <c r="R108" i="44"/>
  <c r="L108" i="44"/>
  <c r="R107" i="44"/>
  <c r="L107" i="44"/>
  <c r="R106" i="44"/>
  <c r="L106" i="44"/>
  <c r="R105" i="44"/>
  <c r="L105" i="44"/>
  <c r="R104" i="44"/>
  <c r="L104" i="44"/>
  <c r="R103" i="44"/>
  <c r="L103" i="44"/>
  <c r="R102" i="44"/>
  <c r="L102" i="44"/>
  <c r="R101" i="44"/>
  <c r="L101" i="44"/>
  <c r="P97" i="44"/>
  <c r="O97" i="44"/>
  <c r="F97" i="44"/>
  <c r="P96" i="44"/>
  <c r="O96" i="44"/>
  <c r="P95" i="44"/>
  <c r="O95" i="44"/>
  <c r="P94" i="44"/>
  <c r="O94" i="44"/>
  <c r="P93" i="44"/>
  <c r="O93" i="44"/>
  <c r="P92" i="44"/>
  <c r="O92" i="44"/>
  <c r="P91" i="44"/>
  <c r="O91" i="44"/>
  <c r="P90" i="44"/>
  <c r="O90" i="44"/>
  <c r="P89" i="44"/>
  <c r="O89" i="44"/>
  <c r="P88" i="44"/>
  <c r="O88" i="44"/>
  <c r="P87" i="44"/>
  <c r="O87" i="44"/>
  <c r="P86" i="44"/>
  <c r="O86" i="44"/>
  <c r="P85" i="44"/>
  <c r="O85" i="44"/>
  <c r="F81" i="44"/>
  <c r="E134" i="44" s="1"/>
  <c r="J148" i="44" s="1"/>
  <c r="R80" i="44"/>
  <c r="Q80" i="44"/>
  <c r="R79" i="44"/>
  <c r="Q79" i="44"/>
  <c r="R78" i="44"/>
  <c r="Q78" i="44"/>
  <c r="R77" i="44"/>
  <c r="Q77" i="44"/>
  <c r="R76" i="44"/>
  <c r="Q76" i="44"/>
  <c r="R75" i="44"/>
  <c r="Q75" i="44"/>
  <c r="R74" i="44"/>
  <c r="Q74" i="44"/>
  <c r="R73" i="44"/>
  <c r="Q73" i="44"/>
  <c r="R72" i="44"/>
  <c r="Q72" i="44"/>
  <c r="R71" i="44"/>
  <c r="Q71" i="44"/>
  <c r="R70" i="44"/>
  <c r="Q70" i="44"/>
  <c r="Q68" i="44"/>
  <c r="L68" i="44"/>
  <c r="F65" i="44"/>
  <c r="D134" i="44" s="1"/>
  <c r="R148" i="44" s="1"/>
  <c r="R64" i="44"/>
  <c r="Q64" i="44"/>
  <c r="R63" i="44"/>
  <c r="Q63" i="44"/>
  <c r="R62" i="44"/>
  <c r="Q62" i="44"/>
  <c r="R61" i="44"/>
  <c r="Q61" i="44"/>
  <c r="R60" i="44"/>
  <c r="Q60" i="44"/>
  <c r="R59" i="44"/>
  <c r="Q59" i="44"/>
  <c r="R58" i="44"/>
  <c r="Q58" i="44"/>
  <c r="R57" i="44"/>
  <c r="Q57" i="44"/>
  <c r="R56" i="44"/>
  <c r="Q56" i="44"/>
  <c r="R55" i="44"/>
  <c r="Q55" i="44"/>
  <c r="R54" i="44"/>
  <c r="Q54" i="44"/>
  <c r="K50" i="44"/>
  <c r="C134" i="44" s="1"/>
  <c r="I148" i="44" s="1"/>
  <c r="R49" i="44"/>
  <c r="Q49" i="44"/>
  <c r="L49" i="44"/>
  <c r="R48" i="44"/>
  <c r="Q48" i="44"/>
  <c r="L48" i="44"/>
  <c r="R47" i="44"/>
  <c r="Q47" i="44"/>
  <c r="L47" i="44"/>
  <c r="R46" i="44"/>
  <c r="Q46" i="44"/>
  <c r="L46" i="44"/>
  <c r="R45" i="44"/>
  <c r="Q45" i="44"/>
  <c r="L45" i="44"/>
  <c r="R44" i="44"/>
  <c r="Q44" i="44"/>
  <c r="L44" i="44"/>
  <c r="R43" i="44"/>
  <c r="Q43" i="44"/>
  <c r="L43" i="44"/>
  <c r="R42" i="44"/>
  <c r="Q42" i="44"/>
  <c r="L42" i="44"/>
  <c r="R41" i="44"/>
  <c r="Q41" i="44"/>
  <c r="L41" i="44"/>
  <c r="R40" i="44"/>
  <c r="Q40" i="44"/>
  <c r="L40" i="44"/>
  <c r="R39" i="44"/>
  <c r="Q39" i="44"/>
  <c r="L39" i="44"/>
  <c r="R38" i="44"/>
  <c r="Q38" i="44"/>
  <c r="L38" i="44"/>
  <c r="R37" i="44"/>
  <c r="R50" i="44" s="1"/>
  <c r="Q37" i="44"/>
  <c r="L37" i="44"/>
  <c r="L35" i="44"/>
  <c r="I35" i="44"/>
  <c r="K32" i="44"/>
  <c r="B134" i="44" s="1"/>
  <c r="H148" i="44" s="1"/>
  <c r="J32" i="44"/>
  <c r="Q31" i="44"/>
  <c r="N31" i="44" s="1"/>
  <c r="M31" i="44"/>
  <c r="L31" i="44"/>
  <c r="D31" i="44"/>
  <c r="M30" i="44"/>
  <c r="L30" i="44"/>
  <c r="Q30" i="44" s="1"/>
  <c r="N30" i="44" s="1"/>
  <c r="D30" i="44"/>
  <c r="M29" i="44"/>
  <c r="L29" i="44"/>
  <c r="Q29" i="44" s="1"/>
  <c r="N29" i="44" s="1"/>
  <c r="D29" i="44"/>
  <c r="Q28" i="44"/>
  <c r="N28" i="44" s="1"/>
  <c r="M28" i="44"/>
  <c r="L28" i="44"/>
  <c r="D28" i="44"/>
  <c r="M27" i="44"/>
  <c r="L27" i="44"/>
  <c r="Q27" i="44" s="1"/>
  <c r="N27" i="44" s="1"/>
  <c r="D27" i="44"/>
  <c r="M26" i="44"/>
  <c r="L26" i="44"/>
  <c r="Q26" i="44" s="1"/>
  <c r="N26" i="44" s="1"/>
  <c r="D26" i="44"/>
  <c r="M25" i="44"/>
  <c r="L25" i="44"/>
  <c r="Q25" i="44" s="1"/>
  <c r="N25" i="44" s="1"/>
  <c r="D25" i="44"/>
  <c r="M24" i="44"/>
  <c r="L24" i="44"/>
  <c r="Q24" i="44" s="1"/>
  <c r="N24" i="44" s="1"/>
  <c r="D24" i="44"/>
  <c r="M23" i="44"/>
  <c r="L23" i="44"/>
  <c r="Q23" i="44" s="1"/>
  <c r="N23" i="44" s="1"/>
  <c r="D23" i="44"/>
  <c r="Q21" i="44"/>
  <c r="N21" i="44" s="1"/>
  <c r="M21" i="44"/>
  <c r="L21" i="44"/>
  <c r="F21" i="44"/>
  <c r="D21" i="44"/>
  <c r="M20" i="44"/>
  <c r="L20" i="44"/>
  <c r="Q20" i="44" s="1"/>
  <c r="N20" i="44" s="1"/>
  <c r="F20" i="44"/>
  <c r="D20" i="44"/>
  <c r="Q19" i="44"/>
  <c r="N19" i="44" s="1"/>
  <c r="M19" i="44"/>
  <c r="L19" i="44"/>
  <c r="F19" i="44"/>
  <c r="D19" i="44"/>
  <c r="Q18" i="44"/>
  <c r="N18" i="44"/>
  <c r="M18" i="44"/>
  <c r="L18" i="44"/>
  <c r="F18" i="44"/>
  <c r="D18" i="44"/>
  <c r="Q17" i="44"/>
  <c r="N17" i="44" s="1"/>
  <c r="M17" i="44"/>
  <c r="L17" i="44"/>
  <c r="F17" i="44"/>
  <c r="D17" i="44"/>
  <c r="M16" i="44"/>
  <c r="L16" i="44"/>
  <c r="Q16" i="44" s="1"/>
  <c r="N16" i="44" s="1"/>
  <c r="F16" i="44"/>
  <c r="D16" i="44"/>
  <c r="M15" i="44"/>
  <c r="L15" i="44"/>
  <c r="Q15" i="44" s="1"/>
  <c r="N15" i="44" s="1"/>
  <c r="F15" i="44"/>
  <c r="D15" i="44"/>
  <c r="M14" i="44"/>
  <c r="L14" i="44"/>
  <c r="Q14" i="44" s="1"/>
  <c r="N14" i="44" s="1"/>
  <c r="F14" i="44"/>
  <c r="D14" i="44"/>
  <c r="M13" i="44"/>
  <c r="L13" i="44"/>
  <c r="Q13" i="44" s="1"/>
  <c r="N13" i="44" s="1"/>
  <c r="F13" i="44"/>
  <c r="D13" i="44"/>
  <c r="M12" i="44"/>
  <c r="L12" i="44"/>
  <c r="F12" i="44"/>
  <c r="D12" i="44"/>
  <c r="J8" i="44"/>
  <c r="I8" i="44"/>
  <c r="E148" i="44" s="1"/>
  <c r="H8" i="44"/>
  <c r="D148" i="44" s="1"/>
  <c r="D8" i="44"/>
  <c r="C148" i="44" s="1"/>
  <c r="A8" i="44"/>
  <c r="A148" i="44" s="1"/>
  <c r="H5" i="44"/>
  <c r="K140" i="44" s="1"/>
  <c r="G148" i="43"/>
  <c r="F148" i="43"/>
  <c r="B148" i="43"/>
  <c r="I134" i="43"/>
  <c r="V148" i="43" s="1"/>
  <c r="H134" i="43"/>
  <c r="U148" i="43" s="1"/>
  <c r="F134" i="43"/>
  <c r="K148" i="43" s="1"/>
  <c r="K130" i="43"/>
  <c r="J134" i="43" s="1"/>
  <c r="T148" i="43" s="1"/>
  <c r="F125" i="43"/>
  <c r="F119" i="43"/>
  <c r="F113" i="43"/>
  <c r="G134" i="43" s="1"/>
  <c r="S148" i="43" s="1"/>
  <c r="R112" i="43"/>
  <c r="L112" i="43"/>
  <c r="R111" i="43"/>
  <c r="L111" i="43"/>
  <c r="R110" i="43"/>
  <c r="L110" i="43"/>
  <c r="R109" i="43"/>
  <c r="L109" i="43"/>
  <c r="R108" i="43"/>
  <c r="L108" i="43"/>
  <c r="R107" i="43"/>
  <c r="L107" i="43"/>
  <c r="R106" i="43"/>
  <c r="L106" i="43"/>
  <c r="R105" i="43"/>
  <c r="L105" i="43"/>
  <c r="R104" i="43"/>
  <c r="L104" i="43"/>
  <c r="R103" i="43"/>
  <c r="L103" i="43"/>
  <c r="R102" i="43"/>
  <c r="L102" i="43"/>
  <c r="R101" i="43"/>
  <c r="L101" i="43"/>
  <c r="L113" i="43" s="1"/>
  <c r="P97" i="43"/>
  <c r="O97" i="43"/>
  <c r="F97" i="43"/>
  <c r="P96" i="43"/>
  <c r="O96" i="43"/>
  <c r="P95" i="43"/>
  <c r="O95" i="43"/>
  <c r="P94" i="43"/>
  <c r="O94" i="43"/>
  <c r="P93" i="43"/>
  <c r="O93" i="43"/>
  <c r="P92" i="43"/>
  <c r="O92" i="43"/>
  <c r="P91" i="43"/>
  <c r="O91" i="43"/>
  <c r="P90" i="43"/>
  <c r="O90" i="43"/>
  <c r="P89" i="43"/>
  <c r="O89" i="43"/>
  <c r="P88" i="43"/>
  <c r="O88" i="43"/>
  <c r="P87" i="43"/>
  <c r="O87" i="43"/>
  <c r="P86" i="43"/>
  <c r="O86" i="43"/>
  <c r="P85" i="43"/>
  <c r="O85" i="43"/>
  <c r="F81" i="43"/>
  <c r="E134" i="43" s="1"/>
  <c r="J148" i="43" s="1"/>
  <c r="R80" i="43"/>
  <c r="Q80" i="43"/>
  <c r="R79" i="43"/>
  <c r="Q79" i="43"/>
  <c r="R78" i="43"/>
  <c r="Q78" i="43"/>
  <c r="R77" i="43"/>
  <c r="Q77" i="43"/>
  <c r="R76" i="43"/>
  <c r="Q76" i="43"/>
  <c r="R75" i="43"/>
  <c r="Q75" i="43"/>
  <c r="R74" i="43"/>
  <c r="Q74" i="43"/>
  <c r="R73" i="43"/>
  <c r="Q73" i="43"/>
  <c r="R72" i="43"/>
  <c r="Q72" i="43"/>
  <c r="R71" i="43"/>
  <c r="Q71" i="43"/>
  <c r="R70" i="43"/>
  <c r="Q70" i="43"/>
  <c r="Q68" i="43"/>
  <c r="L68" i="43"/>
  <c r="F65" i="43"/>
  <c r="D134" i="43" s="1"/>
  <c r="R148" i="43" s="1"/>
  <c r="R64" i="43"/>
  <c r="Q64" i="43"/>
  <c r="R63" i="43"/>
  <c r="Q63" i="43"/>
  <c r="R62" i="43"/>
  <c r="Q62" i="43"/>
  <c r="R61" i="43"/>
  <c r="Q61" i="43"/>
  <c r="R60" i="43"/>
  <c r="Q60" i="43"/>
  <c r="R59" i="43"/>
  <c r="Q59" i="43"/>
  <c r="R58" i="43"/>
  <c r="Q58" i="43"/>
  <c r="R57" i="43"/>
  <c r="Q57" i="43"/>
  <c r="R56" i="43"/>
  <c r="Q56" i="43"/>
  <c r="R55" i="43"/>
  <c r="Q55" i="43"/>
  <c r="R54" i="43"/>
  <c r="Q54" i="43"/>
  <c r="K50" i="43"/>
  <c r="C134" i="43" s="1"/>
  <c r="I148" i="43" s="1"/>
  <c r="R49" i="43"/>
  <c r="Q49" i="43"/>
  <c r="L49" i="43"/>
  <c r="R48" i="43"/>
  <c r="Q48" i="43"/>
  <c r="L48" i="43"/>
  <c r="R47" i="43"/>
  <c r="Q47" i="43"/>
  <c r="L47" i="43"/>
  <c r="R46" i="43"/>
  <c r="Q46" i="43"/>
  <c r="L46" i="43"/>
  <c r="R45" i="43"/>
  <c r="Q45" i="43"/>
  <c r="L45" i="43"/>
  <c r="R44" i="43"/>
  <c r="Q44" i="43"/>
  <c r="L44" i="43"/>
  <c r="R43" i="43"/>
  <c r="Q43" i="43"/>
  <c r="L43" i="43"/>
  <c r="R42" i="43"/>
  <c r="Q42" i="43"/>
  <c r="L42" i="43"/>
  <c r="R41" i="43"/>
  <c r="Q41" i="43"/>
  <c r="L41" i="43"/>
  <c r="R40" i="43"/>
  <c r="Q40" i="43"/>
  <c r="L40" i="43"/>
  <c r="R39" i="43"/>
  <c r="Q39" i="43"/>
  <c r="L39" i="43"/>
  <c r="R38" i="43"/>
  <c r="Q38" i="43"/>
  <c r="L38" i="43"/>
  <c r="R37" i="43"/>
  <c r="Q37" i="43"/>
  <c r="L37" i="43"/>
  <c r="L35" i="43"/>
  <c r="I35" i="43"/>
  <c r="K32" i="43"/>
  <c r="B134" i="43" s="1"/>
  <c r="H148" i="43" s="1"/>
  <c r="J32" i="43"/>
  <c r="Q31" i="43"/>
  <c r="N31" i="43" s="1"/>
  <c r="M31" i="43"/>
  <c r="L31" i="43"/>
  <c r="D31" i="43"/>
  <c r="M30" i="43"/>
  <c r="L30" i="43"/>
  <c r="Q30" i="43" s="1"/>
  <c r="N30" i="43" s="1"/>
  <c r="D30" i="43"/>
  <c r="M29" i="43"/>
  <c r="L29" i="43"/>
  <c r="Q29" i="43" s="1"/>
  <c r="N29" i="43" s="1"/>
  <c r="D29" i="43"/>
  <c r="Q28" i="43"/>
  <c r="N28" i="43" s="1"/>
  <c r="M28" i="43"/>
  <c r="L28" i="43"/>
  <c r="D28" i="43"/>
  <c r="M27" i="43"/>
  <c r="L27" i="43"/>
  <c r="Q27" i="43" s="1"/>
  <c r="N27" i="43" s="1"/>
  <c r="D27" i="43"/>
  <c r="M26" i="43"/>
  <c r="L26" i="43"/>
  <c r="Q26" i="43" s="1"/>
  <c r="N26" i="43" s="1"/>
  <c r="D26" i="43"/>
  <c r="Q25" i="43"/>
  <c r="N25" i="43" s="1"/>
  <c r="M25" i="43"/>
  <c r="L25" i="43"/>
  <c r="D25" i="43"/>
  <c r="M24" i="43"/>
  <c r="L24" i="43"/>
  <c r="Q24" i="43" s="1"/>
  <c r="N24" i="43" s="1"/>
  <c r="D24" i="43"/>
  <c r="M23" i="43"/>
  <c r="L23" i="43"/>
  <c r="Q23" i="43" s="1"/>
  <c r="N23" i="43" s="1"/>
  <c r="D23" i="43"/>
  <c r="Q21" i="43"/>
  <c r="N21" i="43" s="1"/>
  <c r="M21" i="43"/>
  <c r="L21" i="43"/>
  <c r="F21" i="43"/>
  <c r="D21" i="43"/>
  <c r="M20" i="43"/>
  <c r="L20" i="43"/>
  <c r="Q20" i="43" s="1"/>
  <c r="N20" i="43" s="1"/>
  <c r="F20" i="43"/>
  <c r="D20" i="43"/>
  <c r="M19" i="43"/>
  <c r="L19" i="43"/>
  <c r="Q19" i="43" s="1"/>
  <c r="N19" i="43" s="1"/>
  <c r="F19" i="43"/>
  <c r="D19" i="43"/>
  <c r="Q18" i="43"/>
  <c r="N18" i="43"/>
  <c r="M18" i="43"/>
  <c r="L18" i="43"/>
  <c r="F18" i="43"/>
  <c r="D18" i="43"/>
  <c r="Q17" i="43"/>
  <c r="N17" i="43"/>
  <c r="M17" i="43"/>
  <c r="L17" i="43"/>
  <c r="F17" i="43"/>
  <c r="D17" i="43"/>
  <c r="M16" i="43"/>
  <c r="L16" i="43"/>
  <c r="Q16" i="43" s="1"/>
  <c r="N16" i="43" s="1"/>
  <c r="F16" i="43"/>
  <c r="D16" i="43"/>
  <c r="M15" i="43"/>
  <c r="L15" i="43"/>
  <c r="Q15" i="43" s="1"/>
  <c r="N15" i="43" s="1"/>
  <c r="F15" i="43"/>
  <c r="D15" i="43"/>
  <c r="Q14" i="43"/>
  <c r="N14" i="43"/>
  <c r="M14" i="43"/>
  <c r="L14" i="43"/>
  <c r="F14" i="43"/>
  <c r="D14" i="43"/>
  <c r="M13" i="43"/>
  <c r="L13" i="43"/>
  <c r="Q13" i="43" s="1"/>
  <c r="N13" i="43" s="1"/>
  <c r="F13" i="43"/>
  <c r="D13" i="43"/>
  <c r="M12" i="43"/>
  <c r="L12" i="43"/>
  <c r="F12" i="43"/>
  <c r="D12" i="43"/>
  <c r="J8" i="43"/>
  <c r="I8" i="43"/>
  <c r="E148" i="43" s="1"/>
  <c r="H8" i="43"/>
  <c r="D148" i="43" s="1"/>
  <c r="D8" i="43"/>
  <c r="C148" i="43" s="1"/>
  <c r="A8" i="43"/>
  <c r="A148" i="43" s="1"/>
  <c r="H5" i="43"/>
  <c r="K140" i="43" s="1"/>
  <c r="G148" i="42"/>
  <c r="F148" i="42"/>
  <c r="B148" i="42"/>
  <c r="K130" i="42"/>
  <c r="J134" i="42" s="1"/>
  <c r="T148" i="42" s="1"/>
  <c r="F125" i="42"/>
  <c r="I134" i="42" s="1"/>
  <c r="V148" i="42" s="1"/>
  <c r="F119" i="42"/>
  <c r="H134" i="42" s="1"/>
  <c r="U148" i="42" s="1"/>
  <c r="F113" i="42"/>
  <c r="G134" i="42" s="1"/>
  <c r="S148" i="42" s="1"/>
  <c r="R112" i="42"/>
  <c r="L112" i="42"/>
  <c r="R111" i="42"/>
  <c r="L111" i="42"/>
  <c r="R110" i="42"/>
  <c r="L110" i="42"/>
  <c r="R109" i="42"/>
  <c r="L109" i="42"/>
  <c r="R108" i="42"/>
  <c r="L108" i="42"/>
  <c r="R107" i="42"/>
  <c r="L107" i="42"/>
  <c r="R106" i="42"/>
  <c r="L106" i="42"/>
  <c r="R105" i="42"/>
  <c r="L105" i="42"/>
  <c r="R104" i="42"/>
  <c r="L104" i="42"/>
  <c r="R103" i="42"/>
  <c r="L103" i="42"/>
  <c r="R102" i="42"/>
  <c r="L102" i="42"/>
  <c r="L113" i="42" s="1"/>
  <c r="M35" i="42" s="1"/>
  <c r="R101" i="42"/>
  <c r="L101" i="42"/>
  <c r="P97" i="42"/>
  <c r="O97" i="42"/>
  <c r="F97" i="42"/>
  <c r="F134" i="42" s="1"/>
  <c r="K148" i="42" s="1"/>
  <c r="P96" i="42"/>
  <c r="O96" i="42"/>
  <c r="P95" i="42"/>
  <c r="O95" i="42"/>
  <c r="P94" i="42"/>
  <c r="O94" i="42"/>
  <c r="P93" i="42"/>
  <c r="O93" i="42"/>
  <c r="P92" i="42"/>
  <c r="O92" i="42"/>
  <c r="P91" i="42"/>
  <c r="O91" i="42"/>
  <c r="P90" i="42"/>
  <c r="O90" i="42"/>
  <c r="P89" i="42"/>
  <c r="O89" i="42"/>
  <c r="P88" i="42"/>
  <c r="O88" i="42"/>
  <c r="P87" i="42"/>
  <c r="O87" i="42"/>
  <c r="P86" i="42"/>
  <c r="O86" i="42"/>
  <c r="P85" i="42"/>
  <c r="O85" i="42"/>
  <c r="F81" i="42"/>
  <c r="E134" i="42" s="1"/>
  <c r="J148" i="42" s="1"/>
  <c r="R80" i="42"/>
  <c r="Q80" i="42"/>
  <c r="R79" i="42"/>
  <c r="Q79" i="42"/>
  <c r="R78" i="42"/>
  <c r="Q78" i="42"/>
  <c r="R77" i="42"/>
  <c r="Q77" i="42"/>
  <c r="R76" i="42"/>
  <c r="Q76" i="42"/>
  <c r="R75" i="42"/>
  <c r="Q75" i="42"/>
  <c r="R74" i="42"/>
  <c r="Q74" i="42"/>
  <c r="R73" i="42"/>
  <c r="Q73" i="42"/>
  <c r="R72" i="42"/>
  <c r="Q72" i="42"/>
  <c r="R71" i="42"/>
  <c r="Q71" i="42"/>
  <c r="R70" i="42"/>
  <c r="Q70" i="42"/>
  <c r="Q68" i="42"/>
  <c r="L68" i="42"/>
  <c r="F65" i="42"/>
  <c r="D134" i="42" s="1"/>
  <c r="R148" i="42" s="1"/>
  <c r="R64" i="42"/>
  <c r="Q64" i="42"/>
  <c r="R63" i="42"/>
  <c r="Q63" i="42"/>
  <c r="R62" i="42"/>
  <c r="Q62" i="42"/>
  <c r="R61" i="42"/>
  <c r="Q61" i="42"/>
  <c r="R60" i="42"/>
  <c r="Q60" i="42"/>
  <c r="R59" i="42"/>
  <c r="Q59" i="42"/>
  <c r="R58" i="42"/>
  <c r="Q58" i="42"/>
  <c r="R57" i="42"/>
  <c r="Q57" i="42"/>
  <c r="R56" i="42"/>
  <c r="Q56" i="42"/>
  <c r="R55" i="42"/>
  <c r="Q55" i="42"/>
  <c r="R54" i="42"/>
  <c r="Q54" i="42"/>
  <c r="K50" i="42"/>
  <c r="C134" i="42" s="1"/>
  <c r="I148" i="42" s="1"/>
  <c r="R49" i="42"/>
  <c r="Q49" i="42"/>
  <c r="L49" i="42"/>
  <c r="R48" i="42"/>
  <c r="Q48" i="42"/>
  <c r="L48" i="42"/>
  <c r="R47" i="42"/>
  <c r="Q47" i="42"/>
  <c r="L47" i="42"/>
  <c r="R46" i="42"/>
  <c r="Q46" i="42"/>
  <c r="L46" i="42"/>
  <c r="R45" i="42"/>
  <c r="Q45" i="42"/>
  <c r="L45" i="42"/>
  <c r="R44" i="42"/>
  <c r="Q44" i="42"/>
  <c r="L44" i="42"/>
  <c r="R43" i="42"/>
  <c r="Q43" i="42"/>
  <c r="L43" i="42"/>
  <c r="R42" i="42"/>
  <c r="Q42" i="42"/>
  <c r="L42" i="42"/>
  <c r="R41" i="42"/>
  <c r="Q41" i="42"/>
  <c r="L41" i="42"/>
  <c r="R40" i="42"/>
  <c r="Q40" i="42"/>
  <c r="L40" i="42"/>
  <c r="R39" i="42"/>
  <c r="Q39" i="42"/>
  <c r="L39" i="42"/>
  <c r="R38" i="42"/>
  <c r="Q38" i="42"/>
  <c r="L38" i="42"/>
  <c r="L50" i="42" s="1"/>
  <c r="M50" i="42" s="1"/>
  <c r="R37" i="42"/>
  <c r="R50" i="42" s="1"/>
  <c r="Q37" i="42"/>
  <c r="Q50" i="42" s="1"/>
  <c r="L37" i="42"/>
  <c r="L35" i="42"/>
  <c r="I35" i="42"/>
  <c r="K32" i="42"/>
  <c r="B134" i="42" s="1"/>
  <c r="H148" i="42" s="1"/>
  <c r="J32" i="42"/>
  <c r="Q31" i="42"/>
  <c r="N31" i="42" s="1"/>
  <c r="M31" i="42"/>
  <c r="L31" i="42"/>
  <c r="D31" i="42"/>
  <c r="Q30" i="42"/>
  <c r="N30" i="42" s="1"/>
  <c r="M30" i="42"/>
  <c r="L30" i="42"/>
  <c r="D30" i="42"/>
  <c r="M29" i="42"/>
  <c r="L29" i="42"/>
  <c r="Q29" i="42" s="1"/>
  <c r="N29" i="42" s="1"/>
  <c r="D29" i="42"/>
  <c r="Q28" i="42"/>
  <c r="N28" i="42" s="1"/>
  <c r="M28" i="42"/>
  <c r="L28" i="42"/>
  <c r="D28" i="42"/>
  <c r="Q27" i="42"/>
  <c r="N27" i="42" s="1"/>
  <c r="M27" i="42"/>
  <c r="L27" i="42"/>
  <c r="D27" i="42"/>
  <c r="M26" i="42"/>
  <c r="L26" i="42"/>
  <c r="Q26" i="42" s="1"/>
  <c r="N26" i="42" s="1"/>
  <c r="D26" i="42"/>
  <c r="Q25" i="42"/>
  <c r="N25" i="42" s="1"/>
  <c r="M25" i="42"/>
  <c r="L25" i="42"/>
  <c r="D25" i="42"/>
  <c r="Q24" i="42"/>
  <c r="N24" i="42" s="1"/>
  <c r="M24" i="42"/>
  <c r="L24" i="42"/>
  <c r="D24" i="42"/>
  <c r="M23" i="42"/>
  <c r="L23" i="42"/>
  <c r="Q23" i="42" s="1"/>
  <c r="N23" i="42" s="1"/>
  <c r="D23" i="42"/>
  <c r="Q21" i="42"/>
  <c r="N21" i="42" s="1"/>
  <c r="M21" i="42"/>
  <c r="L21" i="42"/>
  <c r="F21" i="42"/>
  <c r="D21" i="42"/>
  <c r="M20" i="42"/>
  <c r="L20" i="42"/>
  <c r="Q20" i="42" s="1"/>
  <c r="N20" i="42" s="1"/>
  <c r="F20" i="42"/>
  <c r="D20" i="42"/>
  <c r="Q19" i="42"/>
  <c r="N19" i="42" s="1"/>
  <c r="M19" i="42"/>
  <c r="L19" i="42"/>
  <c r="F19" i="42"/>
  <c r="D19" i="42"/>
  <c r="M18" i="42"/>
  <c r="L18" i="42"/>
  <c r="Q18" i="42" s="1"/>
  <c r="N18" i="42" s="1"/>
  <c r="F18" i="42"/>
  <c r="D18" i="42"/>
  <c r="Q17" i="42"/>
  <c r="N17" i="42"/>
  <c r="M17" i="42"/>
  <c r="L17" i="42"/>
  <c r="F17" i="42"/>
  <c r="D17" i="42"/>
  <c r="Q16" i="42"/>
  <c r="N16" i="42" s="1"/>
  <c r="M16" i="42"/>
  <c r="L16" i="42"/>
  <c r="F16" i="42"/>
  <c r="D16" i="42"/>
  <c r="M15" i="42"/>
  <c r="L15" i="42"/>
  <c r="Q15" i="42" s="1"/>
  <c r="N15" i="42" s="1"/>
  <c r="F15" i="42"/>
  <c r="D15" i="42"/>
  <c r="M14" i="42"/>
  <c r="L14" i="42"/>
  <c r="Q14" i="42" s="1"/>
  <c r="N14" i="42" s="1"/>
  <c r="F14" i="42"/>
  <c r="D14" i="42"/>
  <c r="M13" i="42"/>
  <c r="L13" i="42"/>
  <c r="Q13" i="42" s="1"/>
  <c r="N13" i="42" s="1"/>
  <c r="F13" i="42"/>
  <c r="D13" i="42"/>
  <c r="M12" i="42"/>
  <c r="L12" i="42"/>
  <c r="Q12" i="42" s="1"/>
  <c r="N12" i="42" s="1"/>
  <c r="F12" i="42"/>
  <c r="D12" i="42"/>
  <c r="J8" i="42"/>
  <c r="I8" i="42"/>
  <c r="E148" i="42" s="1"/>
  <c r="H8" i="42"/>
  <c r="D148" i="42" s="1"/>
  <c r="D8" i="42"/>
  <c r="C148" i="42" s="1"/>
  <c r="A8" i="42"/>
  <c r="A148" i="42" s="1"/>
  <c r="H5" i="42"/>
  <c r="K140" i="42" s="1"/>
  <c r="G148" i="41"/>
  <c r="F148" i="41"/>
  <c r="B148" i="41"/>
  <c r="H134" i="41"/>
  <c r="U148" i="41" s="1"/>
  <c r="G134" i="41"/>
  <c r="S148" i="41" s="1"/>
  <c r="D134" i="41"/>
  <c r="R148" i="41" s="1"/>
  <c r="K130" i="41"/>
  <c r="J134" i="41" s="1"/>
  <c r="T148" i="41" s="1"/>
  <c r="F125" i="41"/>
  <c r="I134" i="41" s="1"/>
  <c r="V148" i="41" s="1"/>
  <c r="F119" i="41"/>
  <c r="F113" i="41"/>
  <c r="R112" i="41"/>
  <c r="L112" i="41"/>
  <c r="R111" i="41"/>
  <c r="L111" i="41"/>
  <c r="R110" i="41"/>
  <c r="L110" i="41"/>
  <c r="R109" i="41"/>
  <c r="L109" i="41"/>
  <c r="R108" i="41"/>
  <c r="L108" i="41"/>
  <c r="R107" i="41"/>
  <c r="L107" i="41"/>
  <c r="R106" i="41"/>
  <c r="L106" i="41"/>
  <c r="R105" i="41"/>
  <c r="L105" i="41"/>
  <c r="R104" i="41"/>
  <c r="L104" i="41"/>
  <c r="R103" i="41"/>
  <c r="L103" i="41"/>
  <c r="R102" i="41"/>
  <c r="L102" i="41"/>
  <c r="R101" i="41"/>
  <c r="L101" i="41"/>
  <c r="L113" i="41" s="1"/>
  <c r="P97" i="41"/>
  <c r="O97" i="41"/>
  <c r="F97" i="41"/>
  <c r="F134" i="41" s="1"/>
  <c r="K148" i="41" s="1"/>
  <c r="P96" i="41"/>
  <c r="O96" i="41"/>
  <c r="P95" i="41"/>
  <c r="O95" i="41"/>
  <c r="P94" i="41"/>
  <c r="O94" i="41"/>
  <c r="P93" i="41"/>
  <c r="O93" i="41"/>
  <c r="P92" i="41"/>
  <c r="O92" i="41"/>
  <c r="P91" i="41"/>
  <c r="O91" i="41"/>
  <c r="P90" i="41"/>
  <c r="O90" i="41"/>
  <c r="P89" i="41"/>
  <c r="O89" i="41"/>
  <c r="P88" i="41"/>
  <c r="O88" i="41"/>
  <c r="P87" i="41"/>
  <c r="O87" i="41"/>
  <c r="P86" i="41"/>
  <c r="O86" i="41"/>
  <c r="P85" i="41"/>
  <c r="O85" i="41"/>
  <c r="F81" i="41"/>
  <c r="E134" i="41" s="1"/>
  <c r="J148" i="41" s="1"/>
  <c r="R80" i="41"/>
  <c r="Q80" i="41"/>
  <c r="R79" i="41"/>
  <c r="Q79" i="41"/>
  <c r="R78" i="41"/>
  <c r="Q78" i="41"/>
  <c r="R77" i="41"/>
  <c r="Q77" i="41"/>
  <c r="R76" i="41"/>
  <c r="Q76" i="41"/>
  <c r="R75" i="41"/>
  <c r="Q75" i="41"/>
  <c r="R74" i="41"/>
  <c r="Q74" i="41"/>
  <c r="R73" i="41"/>
  <c r="Q73" i="41"/>
  <c r="R72" i="41"/>
  <c r="Q72" i="41"/>
  <c r="R71" i="41"/>
  <c r="Q71" i="41"/>
  <c r="R70" i="41"/>
  <c r="Q70" i="41"/>
  <c r="Q68" i="41"/>
  <c r="L68" i="41"/>
  <c r="F65" i="41"/>
  <c r="R64" i="41"/>
  <c r="Q64" i="41"/>
  <c r="R63" i="41"/>
  <c r="Q63" i="41"/>
  <c r="R62" i="41"/>
  <c r="Q62" i="41"/>
  <c r="R61" i="41"/>
  <c r="Q61" i="41"/>
  <c r="R60" i="41"/>
  <c r="Q60" i="41"/>
  <c r="R59" i="41"/>
  <c r="Q59" i="41"/>
  <c r="R58" i="41"/>
  <c r="Q58" i="41"/>
  <c r="R57" i="41"/>
  <c r="Q57" i="41"/>
  <c r="R56" i="41"/>
  <c r="Q56" i="41"/>
  <c r="R55" i="41"/>
  <c r="Q55" i="41"/>
  <c r="R54" i="41"/>
  <c r="Q54" i="41"/>
  <c r="K50" i="41"/>
  <c r="C134" i="41" s="1"/>
  <c r="I148" i="41" s="1"/>
  <c r="R49" i="41"/>
  <c r="Q49" i="41"/>
  <c r="L49" i="41"/>
  <c r="R48" i="41"/>
  <c r="Q48" i="41"/>
  <c r="L48" i="41"/>
  <c r="R47" i="41"/>
  <c r="Q47" i="41"/>
  <c r="L47" i="41"/>
  <c r="R46" i="41"/>
  <c r="Q46" i="41"/>
  <c r="L46" i="41"/>
  <c r="R45" i="41"/>
  <c r="Q45" i="41"/>
  <c r="L45" i="41"/>
  <c r="R44" i="41"/>
  <c r="Q44" i="41"/>
  <c r="L44" i="41"/>
  <c r="R43" i="41"/>
  <c r="Q43" i="41"/>
  <c r="L43" i="41"/>
  <c r="R42" i="41"/>
  <c r="Q42" i="41"/>
  <c r="L42" i="41"/>
  <c r="R41" i="41"/>
  <c r="Q41" i="41"/>
  <c r="L41" i="41"/>
  <c r="R40" i="41"/>
  <c r="Q40" i="41"/>
  <c r="L40" i="41"/>
  <c r="R39" i="41"/>
  <c r="Q39" i="41"/>
  <c r="L39" i="41"/>
  <c r="R38" i="41"/>
  <c r="Q38" i="41"/>
  <c r="L38" i="41"/>
  <c r="R37" i="41"/>
  <c r="R50" i="41" s="1"/>
  <c r="Q37" i="41"/>
  <c r="L37" i="41"/>
  <c r="L35" i="41"/>
  <c r="I35" i="41"/>
  <c r="K32" i="41"/>
  <c r="B134" i="41" s="1"/>
  <c r="J32" i="41"/>
  <c r="Q31" i="41"/>
  <c r="N31" i="41" s="1"/>
  <c r="M31" i="41"/>
  <c r="L31" i="41"/>
  <c r="D31" i="41"/>
  <c r="M30" i="41"/>
  <c r="L30" i="41"/>
  <c r="Q30" i="41" s="1"/>
  <c r="N30" i="41" s="1"/>
  <c r="D30" i="41"/>
  <c r="M29" i="41"/>
  <c r="L29" i="41"/>
  <c r="Q29" i="41" s="1"/>
  <c r="N29" i="41" s="1"/>
  <c r="D29" i="41"/>
  <c r="Q28" i="41"/>
  <c r="N28" i="41" s="1"/>
  <c r="M28" i="41"/>
  <c r="L28" i="41"/>
  <c r="D28" i="41"/>
  <c r="M27" i="41"/>
  <c r="L27" i="41"/>
  <c r="Q27" i="41" s="1"/>
  <c r="N27" i="41" s="1"/>
  <c r="D27" i="41"/>
  <c r="M26" i="41"/>
  <c r="L26" i="41"/>
  <c r="Q26" i="41" s="1"/>
  <c r="N26" i="41" s="1"/>
  <c r="D26" i="41"/>
  <c r="Q25" i="41"/>
  <c r="N25" i="41" s="1"/>
  <c r="M25" i="41"/>
  <c r="L25" i="41"/>
  <c r="D25" i="41"/>
  <c r="M24" i="41"/>
  <c r="L24" i="41"/>
  <c r="Q24" i="41" s="1"/>
  <c r="N24" i="41" s="1"/>
  <c r="D24" i="41"/>
  <c r="M23" i="41"/>
  <c r="L23" i="41"/>
  <c r="Q23" i="41" s="1"/>
  <c r="N23" i="41" s="1"/>
  <c r="D23" i="41"/>
  <c r="Q21" i="41"/>
  <c r="N21" i="41" s="1"/>
  <c r="M21" i="41"/>
  <c r="L21" i="41"/>
  <c r="F21" i="41"/>
  <c r="D21" i="41"/>
  <c r="M20" i="41"/>
  <c r="L20" i="41"/>
  <c r="Q20" i="41" s="1"/>
  <c r="N20" i="41" s="1"/>
  <c r="F20" i="41"/>
  <c r="D20" i="41"/>
  <c r="Q19" i="41"/>
  <c r="N19" i="41" s="1"/>
  <c r="M19" i="41"/>
  <c r="L19" i="41"/>
  <c r="F19" i="41"/>
  <c r="D19" i="41"/>
  <c r="Q18" i="41"/>
  <c r="N18" i="41" s="1"/>
  <c r="M18" i="41"/>
  <c r="L18" i="41"/>
  <c r="F18" i="41"/>
  <c r="D18" i="41"/>
  <c r="Q17" i="41"/>
  <c r="N17" i="41" s="1"/>
  <c r="M17" i="41"/>
  <c r="L17" i="41"/>
  <c r="F17" i="41"/>
  <c r="D17" i="41"/>
  <c r="M16" i="41"/>
  <c r="L16" i="41"/>
  <c r="Q16" i="41" s="1"/>
  <c r="N16" i="41" s="1"/>
  <c r="F16" i="41"/>
  <c r="D16" i="41"/>
  <c r="Q15" i="41"/>
  <c r="N15" i="41" s="1"/>
  <c r="M15" i="41"/>
  <c r="L15" i="41"/>
  <c r="F15" i="41"/>
  <c r="D15" i="41"/>
  <c r="Q14" i="41"/>
  <c r="N14" i="41" s="1"/>
  <c r="M14" i="41"/>
  <c r="L14" i="41"/>
  <c r="F14" i="41"/>
  <c r="D14" i="41"/>
  <c r="Q13" i="41"/>
  <c r="N13" i="41" s="1"/>
  <c r="M13" i="41"/>
  <c r="L13" i="41"/>
  <c r="F13" i="41"/>
  <c r="D13" i="41"/>
  <c r="M12" i="41"/>
  <c r="L12" i="41"/>
  <c r="L32" i="41" s="1"/>
  <c r="F12" i="41"/>
  <c r="D12" i="41"/>
  <c r="J8" i="41"/>
  <c r="I8" i="41"/>
  <c r="E148" i="41" s="1"/>
  <c r="H8" i="41"/>
  <c r="D148" i="41" s="1"/>
  <c r="D8" i="41"/>
  <c r="C148" i="41" s="1"/>
  <c r="A8" i="41"/>
  <c r="A148" i="41" s="1"/>
  <c r="H5" i="41"/>
  <c r="K140" i="41" s="1"/>
  <c r="G148" i="40"/>
  <c r="F148" i="40"/>
  <c r="B148" i="40"/>
  <c r="J134" i="40"/>
  <c r="T148" i="40" s="1"/>
  <c r="I134" i="40"/>
  <c r="V148" i="40" s="1"/>
  <c r="H134" i="40"/>
  <c r="U148" i="40" s="1"/>
  <c r="K130" i="40"/>
  <c r="F125" i="40"/>
  <c r="F119" i="40"/>
  <c r="F113" i="40"/>
  <c r="G134" i="40" s="1"/>
  <c r="S148" i="40" s="1"/>
  <c r="R112" i="40"/>
  <c r="L112" i="40"/>
  <c r="R111" i="40"/>
  <c r="L111" i="40"/>
  <c r="R110" i="40"/>
  <c r="L110" i="40"/>
  <c r="R109" i="40"/>
  <c r="L109" i="40"/>
  <c r="R108" i="40"/>
  <c r="L108" i="40"/>
  <c r="R107" i="40"/>
  <c r="L107" i="40"/>
  <c r="R106" i="40"/>
  <c r="L106" i="40"/>
  <c r="R105" i="40"/>
  <c r="L105" i="40"/>
  <c r="R104" i="40"/>
  <c r="L104" i="40"/>
  <c r="R103" i="40"/>
  <c r="L103" i="40"/>
  <c r="R102" i="40"/>
  <c r="L102" i="40"/>
  <c r="R101" i="40"/>
  <c r="L101" i="40"/>
  <c r="L113" i="40" s="1"/>
  <c r="M35" i="40" s="1"/>
  <c r="P97" i="40"/>
  <c r="O97" i="40"/>
  <c r="F97" i="40"/>
  <c r="F134" i="40" s="1"/>
  <c r="K148" i="40" s="1"/>
  <c r="P96" i="40"/>
  <c r="O96" i="40"/>
  <c r="P95" i="40"/>
  <c r="O95" i="40"/>
  <c r="P94" i="40"/>
  <c r="O94" i="40"/>
  <c r="P93" i="40"/>
  <c r="O93" i="40"/>
  <c r="P92" i="40"/>
  <c r="O92" i="40"/>
  <c r="P91" i="40"/>
  <c r="O91" i="40"/>
  <c r="P90" i="40"/>
  <c r="O90" i="40"/>
  <c r="P89" i="40"/>
  <c r="O89" i="40"/>
  <c r="P88" i="40"/>
  <c r="O88" i="40"/>
  <c r="P87" i="40"/>
  <c r="O87" i="40"/>
  <c r="P86" i="40"/>
  <c r="O86" i="40"/>
  <c r="P85" i="40"/>
  <c r="O85" i="40"/>
  <c r="F81" i="40"/>
  <c r="E134" i="40" s="1"/>
  <c r="J148" i="40" s="1"/>
  <c r="R80" i="40"/>
  <c r="Q80" i="40"/>
  <c r="R79" i="40"/>
  <c r="Q79" i="40"/>
  <c r="R78" i="40"/>
  <c r="Q78" i="40"/>
  <c r="R77" i="40"/>
  <c r="Q77" i="40"/>
  <c r="R76" i="40"/>
  <c r="Q76" i="40"/>
  <c r="R75" i="40"/>
  <c r="Q75" i="40"/>
  <c r="R74" i="40"/>
  <c r="Q74" i="40"/>
  <c r="R73" i="40"/>
  <c r="Q73" i="40"/>
  <c r="R72" i="40"/>
  <c r="Q72" i="40"/>
  <c r="R71" i="40"/>
  <c r="Q71" i="40"/>
  <c r="R70" i="40"/>
  <c r="Q70" i="40"/>
  <c r="Q68" i="40"/>
  <c r="L68" i="40"/>
  <c r="F65" i="40"/>
  <c r="D134" i="40" s="1"/>
  <c r="R148" i="40" s="1"/>
  <c r="R64" i="40"/>
  <c r="Q64" i="40"/>
  <c r="R63" i="40"/>
  <c r="Q63" i="40"/>
  <c r="R62" i="40"/>
  <c r="Q62" i="40"/>
  <c r="R61" i="40"/>
  <c r="Q61" i="40"/>
  <c r="R60" i="40"/>
  <c r="Q60" i="40"/>
  <c r="R59" i="40"/>
  <c r="Q59" i="40"/>
  <c r="R58" i="40"/>
  <c r="Q58" i="40"/>
  <c r="R57" i="40"/>
  <c r="Q57" i="40"/>
  <c r="R56" i="40"/>
  <c r="Q56" i="40"/>
  <c r="R55" i="40"/>
  <c r="Q55" i="40"/>
  <c r="R54" i="40"/>
  <c r="Q54" i="40"/>
  <c r="K50" i="40"/>
  <c r="C134" i="40" s="1"/>
  <c r="I148" i="40" s="1"/>
  <c r="R49" i="40"/>
  <c r="Q49" i="40"/>
  <c r="L49" i="40"/>
  <c r="R48" i="40"/>
  <c r="Q48" i="40"/>
  <c r="L48" i="40"/>
  <c r="R47" i="40"/>
  <c r="Q47" i="40"/>
  <c r="L47" i="40"/>
  <c r="R46" i="40"/>
  <c r="Q46" i="40"/>
  <c r="L46" i="40"/>
  <c r="R45" i="40"/>
  <c r="Q45" i="40"/>
  <c r="L45" i="40"/>
  <c r="R44" i="40"/>
  <c r="Q44" i="40"/>
  <c r="L44" i="40"/>
  <c r="R43" i="40"/>
  <c r="Q43" i="40"/>
  <c r="L43" i="40"/>
  <c r="R42" i="40"/>
  <c r="Q42" i="40"/>
  <c r="L42" i="40"/>
  <c r="R41" i="40"/>
  <c r="Q41" i="40"/>
  <c r="L41" i="40"/>
  <c r="R40" i="40"/>
  <c r="Q40" i="40"/>
  <c r="L40" i="40"/>
  <c r="R39" i="40"/>
  <c r="Q39" i="40"/>
  <c r="L39" i="40"/>
  <c r="R38" i="40"/>
  <c r="Q38" i="40"/>
  <c r="L38" i="40"/>
  <c r="R37" i="40"/>
  <c r="R50" i="40" s="1"/>
  <c r="Q37" i="40"/>
  <c r="Q50" i="40" s="1"/>
  <c r="L37" i="40"/>
  <c r="L50" i="40" s="1"/>
  <c r="M50" i="40" s="1"/>
  <c r="L35" i="40"/>
  <c r="I35" i="40"/>
  <c r="K32" i="40"/>
  <c r="B134" i="40" s="1"/>
  <c r="H148" i="40" s="1"/>
  <c r="J32" i="40"/>
  <c r="Q31" i="40"/>
  <c r="N31" i="40" s="1"/>
  <c r="M31" i="40"/>
  <c r="L31" i="40"/>
  <c r="D31" i="40"/>
  <c r="M30" i="40"/>
  <c r="L30" i="40"/>
  <c r="Q30" i="40" s="1"/>
  <c r="N30" i="40" s="1"/>
  <c r="D30" i="40"/>
  <c r="M29" i="40"/>
  <c r="L29" i="40"/>
  <c r="Q29" i="40" s="1"/>
  <c r="N29" i="40" s="1"/>
  <c r="D29" i="40"/>
  <c r="Q28" i="40"/>
  <c r="N28" i="40" s="1"/>
  <c r="M28" i="40"/>
  <c r="L28" i="40"/>
  <c r="D28" i="40"/>
  <c r="M27" i="40"/>
  <c r="L27" i="40"/>
  <c r="Q27" i="40" s="1"/>
  <c r="N27" i="40" s="1"/>
  <c r="D27" i="40"/>
  <c r="M26" i="40"/>
  <c r="L26" i="40"/>
  <c r="Q26" i="40" s="1"/>
  <c r="N26" i="40" s="1"/>
  <c r="D26" i="40"/>
  <c r="Q25" i="40"/>
  <c r="N25" i="40" s="1"/>
  <c r="M25" i="40"/>
  <c r="L25" i="40"/>
  <c r="D25" i="40"/>
  <c r="M24" i="40"/>
  <c r="L24" i="40"/>
  <c r="Q24" i="40" s="1"/>
  <c r="N24" i="40" s="1"/>
  <c r="D24" i="40"/>
  <c r="M23" i="40"/>
  <c r="L23" i="40"/>
  <c r="Q23" i="40" s="1"/>
  <c r="N23" i="40" s="1"/>
  <c r="D23" i="40"/>
  <c r="Q21" i="40"/>
  <c r="N21" i="40" s="1"/>
  <c r="M21" i="40"/>
  <c r="L21" i="40"/>
  <c r="F21" i="40"/>
  <c r="D21" i="40"/>
  <c r="Q20" i="40"/>
  <c r="N20" i="40" s="1"/>
  <c r="M20" i="40"/>
  <c r="L20" i="40"/>
  <c r="F20" i="40"/>
  <c r="D20" i="40"/>
  <c r="M19" i="40"/>
  <c r="L19" i="40"/>
  <c r="Q19" i="40" s="1"/>
  <c r="N19" i="40" s="1"/>
  <c r="F19" i="40"/>
  <c r="D19" i="40"/>
  <c r="Q18" i="40"/>
  <c r="N18" i="40"/>
  <c r="M18" i="40"/>
  <c r="L18" i="40"/>
  <c r="F18" i="40"/>
  <c r="D18" i="40"/>
  <c r="Q17" i="40"/>
  <c r="N17" i="40"/>
  <c r="M17" i="40"/>
  <c r="L17" i="40"/>
  <c r="F17" i="40"/>
  <c r="D17" i="40"/>
  <c r="Q16" i="40"/>
  <c r="N16" i="40" s="1"/>
  <c r="M16" i="40"/>
  <c r="L16" i="40"/>
  <c r="F16" i="40"/>
  <c r="D16" i="40"/>
  <c r="M15" i="40"/>
  <c r="L15" i="40"/>
  <c r="Q15" i="40" s="1"/>
  <c r="N15" i="40" s="1"/>
  <c r="F15" i="40"/>
  <c r="D15" i="40"/>
  <c r="Q14" i="40"/>
  <c r="N14" i="40"/>
  <c r="M14" i="40"/>
  <c r="L14" i="40"/>
  <c r="F14" i="40"/>
  <c r="D14" i="40"/>
  <c r="Q13" i="40"/>
  <c r="N13" i="40"/>
  <c r="M13" i="40"/>
  <c r="L13" i="40"/>
  <c r="F13" i="40"/>
  <c r="D13" i="40"/>
  <c r="M12" i="40"/>
  <c r="M32" i="40" s="1"/>
  <c r="L12" i="40"/>
  <c r="L32" i="40" s="1"/>
  <c r="F12" i="40"/>
  <c r="D12" i="40"/>
  <c r="J8" i="40"/>
  <c r="I8" i="40"/>
  <c r="E148" i="40" s="1"/>
  <c r="H8" i="40"/>
  <c r="D148" i="40" s="1"/>
  <c r="D8" i="40"/>
  <c r="C148" i="40" s="1"/>
  <c r="A8" i="40"/>
  <c r="A148" i="40" s="1"/>
  <c r="H5" i="40"/>
  <c r="K140" i="40" s="1"/>
  <c r="G148" i="39"/>
  <c r="F148" i="39"/>
  <c r="B148" i="39"/>
  <c r="J134" i="39"/>
  <c r="T148" i="39" s="1"/>
  <c r="I134" i="39"/>
  <c r="V148" i="39" s="1"/>
  <c r="G134" i="39"/>
  <c r="S148" i="39" s="1"/>
  <c r="F134" i="39"/>
  <c r="K148" i="39" s="1"/>
  <c r="K130" i="39"/>
  <c r="F125" i="39"/>
  <c r="F119" i="39"/>
  <c r="H134" i="39" s="1"/>
  <c r="U148" i="39" s="1"/>
  <c r="F113" i="39"/>
  <c r="R112" i="39"/>
  <c r="L112" i="39"/>
  <c r="R111" i="39"/>
  <c r="L111" i="39"/>
  <c r="R110" i="39"/>
  <c r="L110" i="39"/>
  <c r="R109" i="39"/>
  <c r="L109" i="39"/>
  <c r="R108" i="39"/>
  <c r="L108" i="39"/>
  <c r="R107" i="39"/>
  <c r="L107" i="39"/>
  <c r="R106" i="39"/>
  <c r="L106" i="39"/>
  <c r="R105" i="39"/>
  <c r="L105" i="39"/>
  <c r="R104" i="39"/>
  <c r="L104" i="39"/>
  <c r="R103" i="39"/>
  <c r="L103" i="39"/>
  <c r="R102" i="39"/>
  <c r="L102" i="39"/>
  <c r="R101" i="39"/>
  <c r="L101" i="39"/>
  <c r="L113" i="39" s="1"/>
  <c r="P97" i="39"/>
  <c r="O97" i="39"/>
  <c r="F97" i="39"/>
  <c r="P96" i="39"/>
  <c r="O96" i="39"/>
  <c r="P95" i="39"/>
  <c r="O95" i="39"/>
  <c r="P94" i="39"/>
  <c r="O94" i="39"/>
  <c r="P93" i="39"/>
  <c r="O93" i="39"/>
  <c r="P92" i="39"/>
  <c r="O92" i="39"/>
  <c r="P91" i="39"/>
  <c r="O91" i="39"/>
  <c r="P90" i="39"/>
  <c r="O90" i="39"/>
  <c r="P89" i="39"/>
  <c r="O89" i="39"/>
  <c r="P88" i="39"/>
  <c r="O88" i="39"/>
  <c r="P87" i="39"/>
  <c r="O87" i="39"/>
  <c r="P86" i="39"/>
  <c r="O86" i="39"/>
  <c r="P85" i="39"/>
  <c r="O85" i="39"/>
  <c r="F81" i="39"/>
  <c r="E134" i="39" s="1"/>
  <c r="J148" i="39" s="1"/>
  <c r="R80" i="39"/>
  <c r="Q80" i="39"/>
  <c r="R79" i="39"/>
  <c r="Q79" i="39"/>
  <c r="R78" i="39"/>
  <c r="Q78" i="39"/>
  <c r="R77" i="39"/>
  <c r="Q77" i="39"/>
  <c r="R76" i="39"/>
  <c r="Q76" i="39"/>
  <c r="R75" i="39"/>
  <c r="Q75" i="39"/>
  <c r="R74" i="39"/>
  <c r="Q74" i="39"/>
  <c r="R73" i="39"/>
  <c r="Q73" i="39"/>
  <c r="R72" i="39"/>
  <c r="Q72" i="39"/>
  <c r="R71" i="39"/>
  <c r="Q71" i="39"/>
  <c r="R70" i="39"/>
  <c r="Q70" i="39"/>
  <c r="Q68" i="39"/>
  <c r="L68" i="39"/>
  <c r="F65" i="39"/>
  <c r="D134" i="39" s="1"/>
  <c r="R148" i="39" s="1"/>
  <c r="R64" i="39"/>
  <c r="Q64" i="39"/>
  <c r="R63" i="39"/>
  <c r="Q63" i="39"/>
  <c r="R62" i="39"/>
  <c r="Q62" i="39"/>
  <c r="R61" i="39"/>
  <c r="Q61" i="39"/>
  <c r="R60" i="39"/>
  <c r="Q60" i="39"/>
  <c r="R59" i="39"/>
  <c r="Q59" i="39"/>
  <c r="R58" i="39"/>
  <c r="Q58" i="39"/>
  <c r="R57" i="39"/>
  <c r="Q57" i="39"/>
  <c r="R56" i="39"/>
  <c r="Q56" i="39"/>
  <c r="R55" i="39"/>
  <c r="Q55" i="39"/>
  <c r="R54" i="39"/>
  <c r="Q54" i="39"/>
  <c r="K50" i="39"/>
  <c r="C134" i="39" s="1"/>
  <c r="I148" i="39" s="1"/>
  <c r="R49" i="39"/>
  <c r="Q49" i="39"/>
  <c r="L49" i="39"/>
  <c r="R48" i="39"/>
  <c r="Q48" i="39"/>
  <c r="L48" i="39"/>
  <c r="R47" i="39"/>
  <c r="Q47" i="39"/>
  <c r="L47" i="39"/>
  <c r="R46" i="39"/>
  <c r="Q46" i="39"/>
  <c r="L46" i="39"/>
  <c r="R45" i="39"/>
  <c r="Q45" i="39"/>
  <c r="L45" i="39"/>
  <c r="R44" i="39"/>
  <c r="Q44" i="39"/>
  <c r="L44" i="39"/>
  <c r="R43" i="39"/>
  <c r="Q43" i="39"/>
  <c r="L43" i="39"/>
  <c r="R42" i="39"/>
  <c r="Q42" i="39"/>
  <c r="L42" i="39"/>
  <c r="R41" i="39"/>
  <c r="Q41" i="39"/>
  <c r="L41" i="39"/>
  <c r="R40" i="39"/>
  <c r="Q40" i="39"/>
  <c r="L40" i="39"/>
  <c r="R39" i="39"/>
  <c r="Q39" i="39"/>
  <c r="L39" i="39"/>
  <c r="R38" i="39"/>
  <c r="Q38" i="39"/>
  <c r="L38" i="39"/>
  <c r="R37" i="39"/>
  <c r="Q37" i="39"/>
  <c r="L37" i="39"/>
  <c r="L35" i="39"/>
  <c r="I35" i="39"/>
  <c r="K32" i="39"/>
  <c r="B134" i="39" s="1"/>
  <c r="H148" i="39" s="1"/>
  <c r="J32" i="39"/>
  <c r="Q31" i="39"/>
  <c r="N31" i="39" s="1"/>
  <c r="M31" i="39"/>
  <c r="L31" i="39"/>
  <c r="D31" i="39"/>
  <c r="M30" i="39"/>
  <c r="L30" i="39"/>
  <c r="Q30" i="39" s="1"/>
  <c r="N30" i="39" s="1"/>
  <c r="D30" i="39"/>
  <c r="M29" i="39"/>
  <c r="L29" i="39"/>
  <c r="Q29" i="39" s="1"/>
  <c r="N29" i="39" s="1"/>
  <c r="D29" i="39"/>
  <c r="Q28" i="39"/>
  <c r="N28" i="39" s="1"/>
  <c r="M28" i="39"/>
  <c r="L28" i="39"/>
  <c r="D28" i="39"/>
  <c r="M27" i="39"/>
  <c r="L27" i="39"/>
  <c r="Q27" i="39" s="1"/>
  <c r="N27" i="39" s="1"/>
  <c r="D27" i="39"/>
  <c r="M26" i="39"/>
  <c r="L26" i="39"/>
  <c r="Q26" i="39" s="1"/>
  <c r="N26" i="39" s="1"/>
  <c r="D26" i="39"/>
  <c r="Q25" i="39"/>
  <c r="N25" i="39" s="1"/>
  <c r="M25" i="39"/>
  <c r="L25" i="39"/>
  <c r="D25" i="39"/>
  <c r="M24" i="39"/>
  <c r="L24" i="39"/>
  <c r="Q24" i="39" s="1"/>
  <c r="N24" i="39" s="1"/>
  <c r="D24" i="39"/>
  <c r="M23" i="39"/>
  <c r="L23" i="39"/>
  <c r="Q23" i="39" s="1"/>
  <c r="N23" i="39" s="1"/>
  <c r="D23" i="39"/>
  <c r="Q21" i="39"/>
  <c r="N21" i="39" s="1"/>
  <c r="M21" i="39"/>
  <c r="L21" i="39"/>
  <c r="F21" i="39"/>
  <c r="D21" i="39"/>
  <c r="M20" i="39"/>
  <c r="L20" i="39"/>
  <c r="Q20" i="39" s="1"/>
  <c r="N20" i="39" s="1"/>
  <c r="F20" i="39"/>
  <c r="D20" i="39"/>
  <c r="Q19" i="39"/>
  <c r="N19" i="39" s="1"/>
  <c r="M19" i="39"/>
  <c r="L19" i="39"/>
  <c r="F19" i="39"/>
  <c r="D19" i="39"/>
  <c r="Q18" i="39"/>
  <c r="N18" i="39"/>
  <c r="M18" i="39"/>
  <c r="L18" i="39"/>
  <c r="F18" i="39"/>
  <c r="D18" i="39"/>
  <c r="Q17" i="39"/>
  <c r="N17" i="39"/>
  <c r="M17" i="39"/>
  <c r="L17" i="39"/>
  <c r="F17" i="39"/>
  <c r="D17" i="39"/>
  <c r="M16" i="39"/>
  <c r="L16" i="39"/>
  <c r="Q16" i="39" s="1"/>
  <c r="N16" i="39" s="1"/>
  <c r="F16" i="39"/>
  <c r="D16" i="39"/>
  <c r="Q15" i="39"/>
  <c r="N15" i="39" s="1"/>
  <c r="M15" i="39"/>
  <c r="L15" i="39"/>
  <c r="F15" i="39"/>
  <c r="D15" i="39"/>
  <c r="Q14" i="39"/>
  <c r="N14" i="39"/>
  <c r="M14" i="39"/>
  <c r="L14" i="39"/>
  <c r="F14" i="39"/>
  <c r="D14" i="39"/>
  <c r="Q13" i="39"/>
  <c r="N13" i="39"/>
  <c r="M13" i="39"/>
  <c r="L13" i="39"/>
  <c r="F13" i="39"/>
  <c r="D13" i="39"/>
  <c r="M12" i="39"/>
  <c r="M32" i="39" s="1"/>
  <c r="L12" i="39"/>
  <c r="F12" i="39"/>
  <c r="D12" i="39"/>
  <c r="J8" i="39"/>
  <c r="I8" i="39"/>
  <c r="E148" i="39" s="1"/>
  <c r="H8" i="39"/>
  <c r="D148" i="39" s="1"/>
  <c r="D8" i="39"/>
  <c r="C148" i="39" s="1"/>
  <c r="A8" i="39"/>
  <c r="A148" i="39" s="1"/>
  <c r="H5" i="39"/>
  <c r="K140" i="39" s="1"/>
  <c r="V148" i="38"/>
  <c r="T148" i="38"/>
  <c r="S148" i="38"/>
  <c r="G148" i="38"/>
  <c r="F148" i="38"/>
  <c r="B148" i="38"/>
  <c r="J134" i="38"/>
  <c r="I134" i="38"/>
  <c r="G134" i="38"/>
  <c r="K130" i="38"/>
  <c r="F125" i="38"/>
  <c r="F119" i="38"/>
  <c r="H134" i="38" s="1"/>
  <c r="U148" i="38" s="1"/>
  <c r="F113" i="38"/>
  <c r="R112" i="38"/>
  <c r="L112" i="38"/>
  <c r="R111" i="38"/>
  <c r="L111" i="38"/>
  <c r="R110" i="38"/>
  <c r="L110" i="38"/>
  <c r="R109" i="38"/>
  <c r="L109" i="38"/>
  <c r="R108" i="38"/>
  <c r="L108" i="38"/>
  <c r="R107" i="38"/>
  <c r="L107" i="38"/>
  <c r="R106" i="38"/>
  <c r="L106" i="38"/>
  <c r="R105" i="38"/>
  <c r="L105" i="38"/>
  <c r="R104" i="38"/>
  <c r="L104" i="38"/>
  <c r="R103" i="38"/>
  <c r="L103" i="38"/>
  <c r="R102" i="38"/>
  <c r="L102" i="38"/>
  <c r="R101" i="38"/>
  <c r="L101" i="38"/>
  <c r="L113" i="38" s="1"/>
  <c r="P97" i="38"/>
  <c r="O97" i="38"/>
  <c r="F97" i="38"/>
  <c r="F134" i="38" s="1"/>
  <c r="K148" i="38" s="1"/>
  <c r="P96" i="38"/>
  <c r="O96" i="38"/>
  <c r="P95" i="38"/>
  <c r="O95" i="38"/>
  <c r="P94" i="38"/>
  <c r="O94" i="38"/>
  <c r="P93" i="38"/>
  <c r="O93" i="38"/>
  <c r="P92" i="38"/>
  <c r="O92" i="38"/>
  <c r="P91" i="38"/>
  <c r="O91" i="38"/>
  <c r="P90" i="38"/>
  <c r="O90" i="38"/>
  <c r="P89" i="38"/>
  <c r="O89" i="38"/>
  <c r="P88" i="38"/>
  <c r="O88" i="38"/>
  <c r="P87" i="38"/>
  <c r="O87" i="38"/>
  <c r="P86" i="38"/>
  <c r="O86" i="38"/>
  <c r="P85" i="38"/>
  <c r="O85" i="38"/>
  <c r="F81" i="38"/>
  <c r="E134" i="38" s="1"/>
  <c r="J148" i="38" s="1"/>
  <c r="R80" i="38"/>
  <c r="Q80" i="38"/>
  <c r="R79" i="38"/>
  <c r="Q79" i="38"/>
  <c r="R78" i="38"/>
  <c r="Q78" i="38"/>
  <c r="R77" i="38"/>
  <c r="Q77" i="38"/>
  <c r="R76" i="38"/>
  <c r="Q76" i="38"/>
  <c r="R75" i="38"/>
  <c r="Q75" i="38"/>
  <c r="R74" i="38"/>
  <c r="Q74" i="38"/>
  <c r="R73" i="38"/>
  <c r="Q73" i="38"/>
  <c r="R72" i="38"/>
  <c r="Q72" i="38"/>
  <c r="R71" i="38"/>
  <c r="Q71" i="38"/>
  <c r="R70" i="38"/>
  <c r="Q70" i="38"/>
  <c r="Q68" i="38"/>
  <c r="L68" i="38"/>
  <c r="F65" i="38"/>
  <c r="D134" i="38" s="1"/>
  <c r="R148" i="38" s="1"/>
  <c r="R64" i="38"/>
  <c r="Q64" i="38"/>
  <c r="R63" i="38"/>
  <c r="Q63" i="38"/>
  <c r="R62" i="38"/>
  <c r="Q62" i="38"/>
  <c r="R61" i="38"/>
  <c r="Q61" i="38"/>
  <c r="R60" i="38"/>
  <c r="Q60" i="38"/>
  <c r="R59" i="38"/>
  <c r="Q59" i="38"/>
  <c r="R58" i="38"/>
  <c r="Q58" i="38"/>
  <c r="R57" i="38"/>
  <c r="Q57" i="38"/>
  <c r="R56" i="38"/>
  <c r="Q56" i="38"/>
  <c r="R55" i="38"/>
  <c r="Q55" i="38"/>
  <c r="R54" i="38"/>
  <c r="Q54" i="38"/>
  <c r="K50" i="38"/>
  <c r="C134" i="38" s="1"/>
  <c r="I148" i="38" s="1"/>
  <c r="R49" i="38"/>
  <c r="Q49" i="38"/>
  <c r="L49" i="38"/>
  <c r="R48" i="38"/>
  <c r="Q48" i="38"/>
  <c r="L48" i="38"/>
  <c r="R47" i="38"/>
  <c r="Q47" i="38"/>
  <c r="L47" i="38"/>
  <c r="R46" i="38"/>
  <c r="Q46" i="38"/>
  <c r="L46" i="38"/>
  <c r="R45" i="38"/>
  <c r="Q45" i="38"/>
  <c r="L45" i="38"/>
  <c r="R44" i="38"/>
  <c r="Q44" i="38"/>
  <c r="L44" i="38"/>
  <c r="R43" i="38"/>
  <c r="Q43" i="38"/>
  <c r="L43" i="38"/>
  <c r="R42" i="38"/>
  <c r="Q42" i="38"/>
  <c r="L42" i="38"/>
  <c r="R41" i="38"/>
  <c r="Q41" i="38"/>
  <c r="L41" i="38"/>
  <c r="R40" i="38"/>
  <c r="Q40" i="38"/>
  <c r="L40" i="38"/>
  <c r="L50" i="38" s="1"/>
  <c r="M50" i="38" s="1"/>
  <c r="R39" i="38"/>
  <c r="Q39" i="38"/>
  <c r="L39" i="38"/>
  <c r="R38" i="38"/>
  <c r="Q38" i="38"/>
  <c r="L38" i="38"/>
  <c r="R37" i="38"/>
  <c r="R50" i="38" s="1"/>
  <c r="Q37" i="38"/>
  <c r="Q50" i="38" s="1"/>
  <c r="L37" i="38"/>
  <c r="L35" i="38"/>
  <c r="M35" i="38" s="1"/>
  <c r="I35" i="38"/>
  <c r="K32" i="38"/>
  <c r="B134" i="38" s="1"/>
  <c r="H148" i="38" s="1"/>
  <c r="J32" i="38"/>
  <c r="M31" i="38"/>
  <c r="L31" i="38"/>
  <c r="Q31" i="38" s="1"/>
  <c r="N31" i="38" s="1"/>
  <c r="D31" i="38"/>
  <c r="M30" i="38"/>
  <c r="L30" i="38"/>
  <c r="Q30" i="38" s="1"/>
  <c r="N30" i="38" s="1"/>
  <c r="D30" i="38"/>
  <c r="M29" i="38"/>
  <c r="L29" i="38"/>
  <c r="Q29" i="38" s="1"/>
  <c r="N29" i="38" s="1"/>
  <c r="D29" i="38"/>
  <c r="M28" i="38"/>
  <c r="L28" i="38"/>
  <c r="Q28" i="38" s="1"/>
  <c r="N28" i="38" s="1"/>
  <c r="D28" i="38"/>
  <c r="M27" i="38"/>
  <c r="L27" i="38"/>
  <c r="Q27" i="38" s="1"/>
  <c r="N27" i="38" s="1"/>
  <c r="D27" i="38"/>
  <c r="M26" i="38"/>
  <c r="L26" i="38"/>
  <c r="Q26" i="38" s="1"/>
  <c r="N26" i="38" s="1"/>
  <c r="D26" i="38"/>
  <c r="M25" i="38"/>
  <c r="L25" i="38"/>
  <c r="Q25" i="38" s="1"/>
  <c r="N25" i="38" s="1"/>
  <c r="D25" i="38"/>
  <c r="Q24" i="38"/>
  <c r="N24" i="38" s="1"/>
  <c r="M24" i="38"/>
  <c r="L24" i="38"/>
  <c r="D24" i="38"/>
  <c r="M23" i="38"/>
  <c r="L23" i="38"/>
  <c r="Q23" i="38" s="1"/>
  <c r="N23" i="38" s="1"/>
  <c r="D23" i="38"/>
  <c r="M21" i="38"/>
  <c r="L21" i="38"/>
  <c r="Q21" i="38" s="1"/>
  <c r="N21" i="38" s="1"/>
  <c r="F21" i="38"/>
  <c r="D21" i="38"/>
  <c r="M20" i="38"/>
  <c r="L20" i="38"/>
  <c r="Q20" i="38" s="1"/>
  <c r="N20" i="38" s="1"/>
  <c r="F20" i="38"/>
  <c r="D20" i="38"/>
  <c r="Q19" i="38"/>
  <c r="N19" i="38" s="1"/>
  <c r="M19" i="38"/>
  <c r="L19" i="38"/>
  <c r="F19" i="38"/>
  <c r="D19" i="38"/>
  <c r="M18" i="38"/>
  <c r="L18" i="38"/>
  <c r="Q18" i="38" s="1"/>
  <c r="N18" i="38" s="1"/>
  <c r="F18" i="38"/>
  <c r="D18" i="38"/>
  <c r="Q17" i="38"/>
  <c r="N17" i="38" s="1"/>
  <c r="M17" i="38"/>
  <c r="L17" i="38"/>
  <c r="F17" i="38"/>
  <c r="D17" i="38"/>
  <c r="M16" i="38"/>
  <c r="L16" i="38"/>
  <c r="Q16" i="38" s="1"/>
  <c r="N16" i="38" s="1"/>
  <c r="F16" i="38"/>
  <c r="D16" i="38"/>
  <c r="M15" i="38"/>
  <c r="L15" i="38"/>
  <c r="Q15" i="38" s="1"/>
  <c r="N15" i="38" s="1"/>
  <c r="F15" i="38"/>
  <c r="D15" i="38"/>
  <c r="M14" i="38"/>
  <c r="L14" i="38"/>
  <c r="Q14" i="38" s="1"/>
  <c r="N14" i="38" s="1"/>
  <c r="F14" i="38"/>
  <c r="D14" i="38"/>
  <c r="M13" i="38"/>
  <c r="L13" i="38"/>
  <c r="Q13" i="38" s="1"/>
  <c r="N13" i="38" s="1"/>
  <c r="F13" i="38"/>
  <c r="D13" i="38"/>
  <c r="M12" i="38"/>
  <c r="L12" i="38"/>
  <c r="F12" i="38"/>
  <c r="D12" i="38"/>
  <c r="J8" i="38"/>
  <c r="I8" i="38"/>
  <c r="E148" i="38" s="1"/>
  <c r="H8" i="38"/>
  <c r="D148" i="38" s="1"/>
  <c r="D8" i="38"/>
  <c r="C148" i="38" s="1"/>
  <c r="A8" i="38"/>
  <c r="A148" i="38" s="1"/>
  <c r="H5" i="38"/>
  <c r="K140" i="38" s="1"/>
  <c r="G148" i="37"/>
  <c r="F148" i="37"/>
  <c r="B148" i="37"/>
  <c r="H134" i="37"/>
  <c r="U148" i="37" s="1"/>
  <c r="G134" i="37"/>
  <c r="S148" i="37" s="1"/>
  <c r="K130" i="37"/>
  <c r="J134" i="37" s="1"/>
  <c r="T148" i="37" s="1"/>
  <c r="F125" i="37"/>
  <c r="I134" i="37" s="1"/>
  <c r="V148" i="37" s="1"/>
  <c r="F119" i="37"/>
  <c r="F113" i="37"/>
  <c r="R112" i="37"/>
  <c r="L112" i="37"/>
  <c r="R111" i="37"/>
  <c r="L111" i="37"/>
  <c r="R110" i="37"/>
  <c r="L110" i="37"/>
  <c r="R109" i="37"/>
  <c r="L109" i="37"/>
  <c r="R108" i="37"/>
  <c r="L108" i="37"/>
  <c r="R107" i="37"/>
  <c r="L107" i="37"/>
  <c r="R106" i="37"/>
  <c r="L106" i="37"/>
  <c r="R105" i="37"/>
  <c r="L105" i="37"/>
  <c r="R104" i="37"/>
  <c r="L104" i="37"/>
  <c r="R103" i="37"/>
  <c r="L103" i="37"/>
  <c r="R102" i="37"/>
  <c r="L102" i="37"/>
  <c r="R101" i="37"/>
  <c r="L101" i="37"/>
  <c r="P97" i="37"/>
  <c r="O97" i="37"/>
  <c r="F97" i="37"/>
  <c r="F134" i="37" s="1"/>
  <c r="K148" i="37" s="1"/>
  <c r="P96" i="37"/>
  <c r="O96" i="37"/>
  <c r="P95" i="37"/>
  <c r="O95" i="37"/>
  <c r="P94" i="37"/>
  <c r="O94" i="37"/>
  <c r="P93" i="37"/>
  <c r="O93" i="37"/>
  <c r="P92" i="37"/>
  <c r="O92" i="37"/>
  <c r="P91" i="37"/>
  <c r="O91" i="37"/>
  <c r="P90" i="37"/>
  <c r="O90" i="37"/>
  <c r="P89" i="37"/>
  <c r="O89" i="37"/>
  <c r="P88" i="37"/>
  <c r="O88" i="37"/>
  <c r="P87" i="37"/>
  <c r="O87" i="37"/>
  <c r="P86" i="37"/>
  <c r="O86" i="37"/>
  <c r="P85" i="37"/>
  <c r="O85" i="37"/>
  <c r="F81" i="37"/>
  <c r="E134" i="37" s="1"/>
  <c r="J148" i="37" s="1"/>
  <c r="R80" i="37"/>
  <c r="Q80" i="37"/>
  <c r="R79" i="37"/>
  <c r="Q79" i="37"/>
  <c r="R78" i="37"/>
  <c r="Q78" i="37"/>
  <c r="R77" i="37"/>
  <c r="Q77" i="37"/>
  <c r="R76" i="37"/>
  <c r="Q76" i="37"/>
  <c r="R75" i="37"/>
  <c r="Q75" i="37"/>
  <c r="R74" i="37"/>
  <c r="Q74" i="37"/>
  <c r="R73" i="37"/>
  <c r="Q73" i="37"/>
  <c r="R72" i="37"/>
  <c r="Q72" i="37"/>
  <c r="R71" i="37"/>
  <c r="Q71" i="37"/>
  <c r="R70" i="37"/>
  <c r="Q70" i="37"/>
  <c r="Q68" i="37"/>
  <c r="L68" i="37"/>
  <c r="F65" i="37"/>
  <c r="D134" i="37" s="1"/>
  <c r="R148" i="37" s="1"/>
  <c r="R64" i="37"/>
  <c r="Q64" i="37"/>
  <c r="R63" i="37"/>
  <c r="Q63" i="37"/>
  <c r="R62" i="37"/>
  <c r="Q62" i="37"/>
  <c r="R61" i="37"/>
  <c r="Q61" i="37"/>
  <c r="R60" i="37"/>
  <c r="Q60" i="37"/>
  <c r="R59" i="37"/>
  <c r="Q59" i="37"/>
  <c r="R58" i="37"/>
  <c r="Q58" i="37"/>
  <c r="R57" i="37"/>
  <c r="Q57" i="37"/>
  <c r="R56" i="37"/>
  <c r="Q56" i="37"/>
  <c r="R55" i="37"/>
  <c r="Q55" i="37"/>
  <c r="R54" i="37"/>
  <c r="Q54" i="37"/>
  <c r="K50" i="37"/>
  <c r="C134" i="37" s="1"/>
  <c r="I148" i="37" s="1"/>
  <c r="R49" i="37"/>
  <c r="Q49" i="37"/>
  <c r="L49" i="37"/>
  <c r="R48" i="37"/>
  <c r="Q48" i="37"/>
  <c r="L48" i="37"/>
  <c r="R47" i="37"/>
  <c r="Q47" i="37"/>
  <c r="L47" i="37"/>
  <c r="R46" i="37"/>
  <c r="Q46" i="37"/>
  <c r="L46" i="37"/>
  <c r="R45" i="37"/>
  <c r="Q45" i="37"/>
  <c r="L45" i="37"/>
  <c r="R44" i="37"/>
  <c r="Q44" i="37"/>
  <c r="L44" i="37"/>
  <c r="R43" i="37"/>
  <c r="Q43" i="37"/>
  <c r="L43" i="37"/>
  <c r="R42" i="37"/>
  <c r="Q42" i="37"/>
  <c r="L42" i="37"/>
  <c r="R41" i="37"/>
  <c r="Q41" i="37"/>
  <c r="L41" i="37"/>
  <c r="R40" i="37"/>
  <c r="Q40" i="37"/>
  <c r="L40" i="37"/>
  <c r="R39" i="37"/>
  <c r="Q39" i="37"/>
  <c r="L39" i="37"/>
  <c r="R38" i="37"/>
  <c r="Q38" i="37"/>
  <c r="L38" i="37"/>
  <c r="R37" i="37"/>
  <c r="Q37" i="37"/>
  <c r="L37" i="37"/>
  <c r="L35" i="37"/>
  <c r="I35" i="37"/>
  <c r="K32" i="37"/>
  <c r="B134" i="37" s="1"/>
  <c r="H148" i="37" s="1"/>
  <c r="J32" i="37"/>
  <c r="Q31" i="37"/>
  <c r="N31" i="37" s="1"/>
  <c r="M31" i="37"/>
  <c r="L31" i="37"/>
  <c r="D31" i="37"/>
  <c r="M30" i="37"/>
  <c r="L30" i="37"/>
  <c r="Q30" i="37" s="1"/>
  <c r="N30" i="37" s="1"/>
  <c r="D30" i="37"/>
  <c r="M29" i="37"/>
  <c r="L29" i="37"/>
  <c r="Q29" i="37" s="1"/>
  <c r="N29" i="37" s="1"/>
  <c r="D29" i="37"/>
  <c r="Q28" i="37"/>
  <c r="N28" i="37" s="1"/>
  <c r="M28" i="37"/>
  <c r="L28" i="37"/>
  <c r="D28" i="37"/>
  <c r="M27" i="37"/>
  <c r="L27" i="37"/>
  <c r="Q27" i="37" s="1"/>
  <c r="N27" i="37" s="1"/>
  <c r="D27" i="37"/>
  <c r="M26" i="37"/>
  <c r="L26" i="37"/>
  <c r="Q26" i="37" s="1"/>
  <c r="N26" i="37" s="1"/>
  <c r="D26" i="37"/>
  <c r="M25" i="37"/>
  <c r="L25" i="37"/>
  <c r="Q25" i="37" s="1"/>
  <c r="N25" i="37" s="1"/>
  <c r="D25" i="37"/>
  <c r="M24" i="37"/>
  <c r="L24" i="37"/>
  <c r="Q24" i="37" s="1"/>
  <c r="N24" i="37" s="1"/>
  <c r="D24" i="37"/>
  <c r="M23" i="37"/>
  <c r="L23" i="37"/>
  <c r="Q23" i="37" s="1"/>
  <c r="N23" i="37" s="1"/>
  <c r="D23" i="37"/>
  <c r="Q21" i="37"/>
  <c r="N21" i="37" s="1"/>
  <c r="M21" i="37"/>
  <c r="L21" i="37"/>
  <c r="F21" i="37"/>
  <c r="D21" i="37"/>
  <c r="M20" i="37"/>
  <c r="L20" i="37"/>
  <c r="Q20" i="37" s="1"/>
  <c r="N20" i="37" s="1"/>
  <c r="F20" i="37"/>
  <c r="D20" i="37"/>
  <c r="Q19" i="37"/>
  <c r="N19" i="37" s="1"/>
  <c r="M19" i="37"/>
  <c r="L19" i="37"/>
  <c r="F19" i="37"/>
  <c r="D19" i="37"/>
  <c r="Q18" i="37"/>
  <c r="N18" i="37"/>
  <c r="M18" i="37"/>
  <c r="L18" i="37"/>
  <c r="F18" i="37"/>
  <c r="D18" i="37"/>
  <c r="Q17" i="37"/>
  <c r="N17" i="37" s="1"/>
  <c r="M17" i="37"/>
  <c r="L17" i="37"/>
  <c r="F17" i="37"/>
  <c r="D17" i="37"/>
  <c r="M16" i="37"/>
  <c r="L16" i="37"/>
  <c r="Q16" i="37" s="1"/>
  <c r="N16" i="37" s="1"/>
  <c r="F16" i="37"/>
  <c r="D16" i="37"/>
  <c r="Q15" i="37"/>
  <c r="N15" i="37" s="1"/>
  <c r="M15" i="37"/>
  <c r="L15" i="37"/>
  <c r="F15" i="37"/>
  <c r="D15" i="37"/>
  <c r="M14" i="37"/>
  <c r="L14" i="37"/>
  <c r="Q14" i="37" s="1"/>
  <c r="N14" i="37" s="1"/>
  <c r="F14" i="37"/>
  <c r="D14" i="37"/>
  <c r="M13" i="37"/>
  <c r="L13" i="37"/>
  <c r="Q13" i="37" s="1"/>
  <c r="N13" i="37" s="1"/>
  <c r="F13" i="37"/>
  <c r="D13" i="37"/>
  <c r="M12" i="37"/>
  <c r="L12" i="37"/>
  <c r="F12" i="37"/>
  <c r="D12" i="37"/>
  <c r="J8" i="37"/>
  <c r="I8" i="37"/>
  <c r="E148" i="37" s="1"/>
  <c r="H8" i="37"/>
  <c r="D148" i="37" s="1"/>
  <c r="D8" i="37"/>
  <c r="C148" i="37" s="1"/>
  <c r="A8" i="37"/>
  <c r="A148" i="37" s="1"/>
  <c r="H5" i="37"/>
  <c r="K140" i="37" s="1"/>
  <c r="G148" i="36"/>
  <c r="F148" i="36"/>
  <c r="B148" i="36"/>
  <c r="I134" i="36"/>
  <c r="V148" i="36" s="1"/>
  <c r="H134" i="36"/>
  <c r="U148" i="36" s="1"/>
  <c r="G134" i="36"/>
  <c r="S148" i="36" s="1"/>
  <c r="F134" i="36"/>
  <c r="K148" i="36" s="1"/>
  <c r="K130" i="36"/>
  <c r="J134" i="36" s="1"/>
  <c r="T148" i="36" s="1"/>
  <c r="F125" i="36"/>
  <c r="F119" i="36"/>
  <c r="F113" i="36"/>
  <c r="R112" i="36"/>
  <c r="L112" i="36"/>
  <c r="R111" i="36"/>
  <c r="L111" i="36"/>
  <c r="R110" i="36"/>
  <c r="L110" i="36"/>
  <c r="R109" i="36"/>
  <c r="L109" i="36"/>
  <c r="R108" i="36"/>
  <c r="L108" i="36"/>
  <c r="R107" i="36"/>
  <c r="L107" i="36"/>
  <c r="R106" i="36"/>
  <c r="L106" i="36"/>
  <c r="R105" i="36"/>
  <c r="L105" i="36"/>
  <c r="R104" i="36"/>
  <c r="L104" i="36"/>
  <c r="R103" i="36"/>
  <c r="L103" i="36"/>
  <c r="R102" i="36"/>
  <c r="L102" i="36"/>
  <c r="R101" i="36"/>
  <c r="L101" i="36"/>
  <c r="L113" i="36" s="1"/>
  <c r="P97" i="36"/>
  <c r="O97" i="36"/>
  <c r="F97" i="36"/>
  <c r="P96" i="36"/>
  <c r="O96" i="36"/>
  <c r="P95" i="36"/>
  <c r="O95" i="36"/>
  <c r="P94" i="36"/>
  <c r="O94" i="36"/>
  <c r="P93" i="36"/>
  <c r="O93" i="36"/>
  <c r="P92" i="36"/>
  <c r="O92" i="36"/>
  <c r="P91" i="36"/>
  <c r="O91" i="36"/>
  <c r="P90" i="36"/>
  <c r="O90" i="36"/>
  <c r="P89" i="36"/>
  <c r="O89" i="36"/>
  <c r="P88" i="36"/>
  <c r="O88" i="36"/>
  <c r="P87" i="36"/>
  <c r="O87" i="36"/>
  <c r="P86" i="36"/>
  <c r="O86" i="36"/>
  <c r="P85" i="36"/>
  <c r="O85" i="36"/>
  <c r="F81" i="36"/>
  <c r="E134" i="36" s="1"/>
  <c r="J148" i="36" s="1"/>
  <c r="R80" i="36"/>
  <c r="Q80" i="36"/>
  <c r="R79" i="36"/>
  <c r="Q79" i="36"/>
  <c r="R78" i="36"/>
  <c r="Q78" i="36"/>
  <c r="R77" i="36"/>
  <c r="Q77" i="36"/>
  <c r="R76" i="36"/>
  <c r="Q76" i="36"/>
  <c r="R75" i="36"/>
  <c r="Q75" i="36"/>
  <c r="R74" i="36"/>
  <c r="Q74" i="36"/>
  <c r="R73" i="36"/>
  <c r="Q73" i="36"/>
  <c r="R72" i="36"/>
  <c r="Q72" i="36"/>
  <c r="R71" i="36"/>
  <c r="Q71" i="36"/>
  <c r="R70" i="36"/>
  <c r="Q70" i="36"/>
  <c r="Q68" i="36"/>
  <c r="L68" i="36"/>
  <c r="F65" i="36"/>
  <c r="D134" i="36" s="1"/>
  <c r="R148" i="36" s="1"/>
  <c r="R64" i="36"/>
  <c r="Q64" i="36"/>
  <c r="R63" i="36"/>
  <c r="Q63" i="36"/>
  <c r="R62" i="36"/>
  <c r="Q62" i="36"/>
  <c r="R61" i="36"/>
  <c r="Q61" i="36"/>
  <c r="R60" i="36"/>
  <c r="Q60" i="36"/>
  <c r="R59" i="36"/>
  <c r="Q59" i="36"/>
  <c r="R58" i="36"/>
  <c r="Q58" i="36"/>
  <c r="R57" i="36"/>
  <c r="Q57" i="36"/>
  <c r="R56" i="36"/>
  <c r="Q56" i="36"/>
  <c r="R55" i="36"/>
  <c r="Q55" i="36"/>
  <c r="R54" i="36"/>
  <c r="Q54" i="36"/>
  <c r="K50" i="36"/>
  <c r="C134" i="36" s="1"/>
  <c r="I148" i="36" s="1"/>
  <c r="R49" i="36"/>
  <c r="Q49" i="36"/>
  <c r="L49" i="36"/>
  <c r="R48" i="36"/>
  <c r="Q48" i="36"/>
  <c r="L48" i="36"/>
  <c r="R47" i="36"/>
  <c r="Q47" i="36"/>
  <c r="L47" i="36"/>
  <c r="R46" i="36"/>
  <c r="Q46" i="36"/>
  <c r="L46" i="36"/>
  <c r="R45" i="36"/>
  <c r="Q45" i="36"/>
  <c r="L45" i="36"/>
  <c r="R44" i="36"/>
  <c r="Q44" i="36"/>
  <c r="L44" i="36"/>
  <c r="R43" i="36"/>
  <c r="Q43" i="36"/>
  <c r="L43" i="36"/>
  <c r="R42" i="36"/>
  <c r="Q42" i="36"/>
  <c r="L42" i="36"/>
  <c r="R41" i="36"/>
  <c r="Q41" i="36"/>
  <c r="L41" i="36"/>
  <c r="R40" i="36"/>
  <c r="Q40" i="36"/>
  <c r="L40" i="36"/>
  <c r="R39" i="36"/>
  <c r="Q39" i="36"/>
  <c r="L39" i="36"/>
  <c r="R38" i="36"/>
  <c r="Q38" i="36"/>
  <c r="L38" i="36"/>
  <c r="R37" i="36"/>
  <c r="R50" i="36" s="1"/>
  <c r="Q37" i="36"/>
  <c r="Q50" i="36" s="1"/>
  <c r="L37" i="36"/>
  <c r="L50" i="36" s="1"/>
  <c r="M50" i="36" s="1"/>
  <c r="L35" i="36"/>
  <c r="I35" i="36"/>
  <c r="K32" i="36"/>
  <c r="B134" i="36" s="1"/>
  <c r="H148" i="36" s="1"/>
  <c r="J32" i="36"/>
  <c r="Q31" i="36"/>
  <c r="N31" i="36" s="1"/>
  <c r="M31" i="36"/>
  <c r="L31" i="36"/>
  <c r="D31" i="36"/>
  <c r="M30" i="36"/>
  <c r="L30" i="36"/>
  <c r="Q30" i="36" s="1"/>
  <c r="N30" i="36" s="1"/>
  <c r="D30" i="36"/>
  <c r="M29" i="36"/>
  <c r="L29" i="36"/>
  <c r="Q29" i="36" s="1"/>
  <c r="N29" i="36" s="1"/>
  <c r="D29" i="36"/>
  <c r="Q28" i="36"/>
  <c r="N28" i="36" s="1"/>
  <c r="M28" i="36"/>
  <c r="L28" i="36"/>
  <c r="D28" i="36"/>
  <c r="M27" i="36"/>
  <c r="L27" i="36"/>
  <c r="Q27" i="36" s="1"/>
  <c r="N27" i="36" s="1"/>
  <c r="D27" i="36"/>
  <c r="M26" i="36"/>
  <c r="L26" i="36"/>
  <c r="Q26" i="36" s="1"/>
  <c r="N26" i="36" s="1"/>
  <c r="D26" i="36"/>
  <c r="Q25" i="36"/>
  <c r="N25" i="36" s="1"/>
  <c r="M25" i="36"/>
  <c r="L25" i="36"/>
  <c r="D25" i="36"/>
  <c r="M24" i="36"/>
  <c r="L24" i="36"/>
  <c r="Q24" i="36" s="1"/>
  <c r="N24" i="36" s="1"/>
  <c r="D24" i="36"/>
  <c r="M23" i="36"/>
  <c r="L23" i="36"/>
  <c r="Q23" i="36" s="1"/>
  <c r="N23" i="36" s="1"/>
  <c r="D23" i="36"/>
  <c r="Q21" i="36"/>
  <c r="N21" i="36" s="1"/>
  <c r="M21" i="36"/>
  <c r="L21" i="36"/>
  <c r="F21" i="36"/>
  <c r="D21" i="36"/>
  <c r="M20" i="36"/>
  <c r="L20" i="36"/>
  <c r="Q20" i="36" s="1"/>
  <c r="N20" i="36" s="1"/>
  <c r="F20" i="36"/>
  <c r="D20" i="36"/>
  <c r="M19" i="36"/>
  <c r="L19" i="36"/>
  <c r="Q19" i="36" s="1"/>
  <c r="N19" i="36" s="1"/>
  <c r="F19" i="36"/>
  <c r="D19" i="36"/>
  <c r="Q18" i="36"/>
  <c r="N18" i="36"/>
  <c r="M18" i="36"/>
  <c r="L18" i="36"/>
  <c r="F18" i="36"/>
  <c r="D18" i="36"/>
  <c r="Q17" i="36"/>
  <c r="N17" i="36" s="1"/>
  <c r="M17" i="36"/>
  <c r="L17" i="36"/>
  <c r="F17" i="36"/>
  <c r="D17" i="36"/>
  <c r="M16" i="36"/>
  <c r="L16" i="36"/>
  <c r="Q16" i="36" s="1"/>
  <c r="N16" i="36" s="1"/>
  <c r="F16" i="36"/>
  <c r="D16" i="36"/>
  <c r="M15" i="36"/>
  <c r="L15" i="36"/>
  <c r="Q15" i="36" s="1"/>
  <c r="N15" i="36" s="1"/>
  <c r="F15" i="36"/>
  <c r="D15" i="36"/>
  <c r="Q14" i="36"/>
  <c r="N14" i="36"/>
  <c r="M14" i="36"/>
  <c r="L14" i="36"/>
  <c r="F14" i="36"/>
  <c r="D14" i="36"/>
  <c r="Q13" i="36"/>
  <c r="N13" i="36" s="1"/>
  <c r="M13" i="36"/>
  <c r="L13" i="36"/>
  <c r="F13" i="36"/>
  <c r="D13" i="36"/>
  <c r="M12" i="36"/>
  <c r="M32" i="36" s="1"/>
  <c r="L12" i="36"/>
  <c r="L32" i="36" s="1"/>
  <c r="F12" i="36"/>
  <c r="D12" i="36"/>
  <c r="J8" i="36"/>
  <c r="I8" i="36"/>
  <c r="E148" i="36" s="1"/>
  <c r="H8" i="36"/>
  <c r="D148" i="36" s="1"/>
  <c r="D8" i="36"/>
  <c r="C148" i="36" s="1"/>
  <c r="A8" i="36"/>
  <c r="A148" i="36" s="1"/>
  <c r="H5" i="36"/>
  <c r="K140" i="36" s="1"/>
  <c r="G148" i="35"/>
  <c r="F148" i="35"/>
  <c r="B148" i="35"/>
  <c r="H134" i="35"/>
  <c r="U148" i="35" s="1"/>
  <c r="K130" i="35"/>
  <c r="J134" i="35" s="1"/>
  <c r="T148" i="35" s="1"/>
  <c r="F125" i="35"/>
  <c r="I134" i="35" s="1"/>
  <c r="V148" i="35" s="1"/>
  <c r="F119" i="35"/>
  <c r="F113" i="35"/>
  <c r="G134" i="35" s="1"/>
  <c r="S148" i="35" s="1"/>
  <c r="R112" i="35"/>
  <c r="L112" i="35"/>
  <c r="R111" i="35"/>
  <c r="L111" i="35"/>
  <c r="R110" i="35"/>
  <c r="L110" i="35"/>
  <c r="R109" i="35"/>
  <c r="L109" i="35"/>
  <c r="R108" i="35"/>
  <c r="L108" i="35"/>
  <c r="R107" i="35"/>
  <c r="L107" i="35"/>
  <c r="R106" i="35"/>
  <c r="L106" i="35"/>
  <c r="R105" i="35"/>
  <c r="L105" i="35"/>
  <c r="R104" i="35"/>
  <c r="L104" i="35"/>
  <c r="R103" i="35"/>
  <c r="L103" i="35"/>
  <c r="R102" i="35"/>
  <c r="L102" i="35"/>
  <c r="R101" i="35"/>
  <c r="L101" i="35"/>
  <c r="P97" i="35"/>
  <c r="O97" i="35"/>
  <c r="F97" i="35"/>
  <c r="F134" i="35" s="1"/>
  <c r="K148" i="35" s="1"/>
  <c r="P96" i="35"/>
  <c r="O96" i="35"/>
  <c r="P95" i="35"/>
  <c r="O95" i="35"/>
  <c r="P94" i="35"/>
  <c r="O94" i="35"/>
  <c r="P93" i="35"/>
  <c r="O93" i="35"/>
  <c r="P92" i="35"/>
  <c r="O92" i="35"/>
  <c r="P91" i="35"/>
  <c r="O91" i="35"/>
  <c r="P90" i="35"/>
  <c r="O90" i="35"/>
  <c r="P89" i="35"/>
  <c r="O89" i="35"/>
  <c r="P88" i="35"/>
  <c r="O88" i="35"/>
  <c r="P87" i="35"/>
  <c r="O87" i="35"/>
  <c r="P86" i="35"/>
  <c r="O86" i="35"/>
  <c r="P85" i="35"/>
  <c r="O85" i="35"/>
  <c r="F81" i="35"/>
  <c r="E134" i="35" s="1"/>
  <c r="J148" i="35" s="1"/>
  <c r="R80" i="35"/>
  <c r="Q80" i="35"/>
  <c r="R79" i="35"/>
  <c r="Q79" i="35"/>
  <c r="R78" i="35"/>
  <c r="Q78" i="35"/>
  <c r="R77" i="35"/>
  <c r="Q77" i="35"/>
  <c r="R76" i="35"/>
  <c r="Q76" i="35"/>
  <c r="R75" i="35"/>
  <c r="Q75" i="35"/>
  <c r="R74" i="35"/>
  <c r="Q74" i="35"/>
  <c r="R73" i="35"/>
  <c r="Q73" i="35"/>
  <c r="R72" i="35"/>
  <c r="Q72" i="35"/>
  <c r="R71" i="35"/>
  <c r="Q71" i="35"/>
  <c r="R70" i="35"/>
  <c r="Q70" i="35"/>
  <c r="Q68" i="35"/>
  <c r="L68" i="35"/>
  <c r="F65" i="35"/>
  <c r="D134" i="35" s="1"/>
  <c r="R148" i="35" s="1"/>
  <c r="R64" i="35"/>
  <c r="Q64" i="35"/>
  <c r="R63" i="35"/>
  <c r="Q63" i="35"/>
  <c r="R62" i="35"/>
  <c r="Q62" i="35"/>
  <c r="R61" i="35"/>
  <c r="Q61" i="35"/>
  <c r="R60" i="35"/>
  <c r="Q60" i="35"/>
  <c r="R59" i="35"/>
  <c r="Q59" i="35"/>
  <c r="R58" i="35"/>
  <c r="Q58" i="35"/>
  <c r="R57" i="35"/>
  <c r="Q57" i="35"/>
  <c r="R56" i="35"/>
  <c r="Q56" i="35"/>
  <c r="R55" i="35"/>
  <c r="Q55" i="35"/>
  <c r="R54" i="35"/>
  <c r="Q54" i="35"/>
  <c r="K50" i="35"/>
  <c r="C134" i="35" s="1"/>
  <c r="I148" i="35" s="1"/>
  <c r="R49" i="35"/>
  <c r="Q49" i="35"/>
  <c r="L49" i="35"/>
  <c r="R48" i="35"/>
  <c r="Q48" i="35"/>
  <c r="L48" i="35"/>
  <c r="R47" i="35"/>
  <c r="Q47" i="35"/>
  <c r="L47" i="35"/>
  <c r="R46" i="35"/>
  <c r="Q46" i="35"/>
  <c r="L46" i="35"/>
  <c r="R45" i="35"/>
  <c r="Q45" i="35"/>
  <c r="L45" i="35"/>
  <c r="R44" i="35"/>
  <c r="Q44" i="35"/>
  <c r="L44" i="35"/>
  <c r="R43" i="35"/>
  <c r="Q43" i="35"/>
  <c r="L43" i="35"/>
  <c r="R42" i="35"/>
  <c r="Q42" i="35"/>
  <c r="L42" i="35"/>
  <c r="R41" i="35"/>
  <c r="Q41" i="35"/>
  <c r="L41" i="35"/>
  <c r="R40" i="35"/>
  <c r="Q40" i="35"/>
  <c r="L40" i="35"/>
  <c r="R39" i="35"/>
  <c r="Q39" i="35"/>
  <c r="L39" i="35"/>
  <c r="R38" i="35"/>
  <c r="Q38" i="35"/>
  <c r="L38" i="35"/>
  <c r="R37" i="35"/>
  <c r="Q37" i="35"/>
  <c r="L37" i="35"/>
  <c r="L35" i="35"/>
  <c r="I35" i="35"/>
  <c r="K32" i="35"/>
  <c r="J32" i="35"/>
  <c r="Q31" i="35"/>
  <c r="N31" i="35" s="1"/>
  <c r="M31" i="35"/>
  <c r="L31" i="35"/>
  <c r="D31" i="35"/>
  <c r="Q30" i="35"/>
  <c r="N30" i="35"/>
  <c r="M30" i="35"/>
  <c r="L30" i="35"/>
  <c r="D30" i="35"/>
  <c r="M29" i="35"/>
  <c r="L29" i="35"/>
  <c r="Q29" i="35" s="1"/>
  <c r="N29" i="35" s="1"/>
  <c r="D29" i="35"/>
  <c r="Q28" i="35"/>
  <c r="N28" i="35" s="1"/>
  <c r="M28" i="35"/>
  <c r="L28" i="35"/>
  <c r="D28" i="35"/>
  <c r="Q27" i="35"/>
  <c r="N27" i="35"/>
  <c r="M27" i="35"/>
  <c r="L27" i="35"/>
  <c r="D27" i="35"/>
  <c r="M26" i="35"/>
  <c r="L26" i="35"/>
  <c r="Q26" i="35" s="1"/>
  <c r="N26" i="35" s="1"/>
  <c r="D26" i="35"/>
  <c r="Q25" i="35"/>
  <c r="N25" i="35" s="1"/>
  <c r="M25" i="35"/>
  <c r="L25" i="35"/>
  <c r="D25" i="35"/>
  <c r="Q24" i="35"/>
  <c r="N24" i="35" s="1"/>
  <c r="M24" i="35"/>
  <c r="L24" i="35"/>
  <c r="D24" i="35"/>
  <c r="M23" i="35"/>
  <c r="L23" i="35"/>
  <c r="Q23" i="35" s="1"/>
  <c r="N23" i="35" s="1"/>
  <c r="D23" i="35"/>
  <c r="Q21" i="35"/>
  <c r="N21" i="35" s="1"/>
  <c r="M21" i="35"/>
  <c r="L21" i="35"/>
  <c r="F21" i="35"/>
  <c r="D21" i="35"/>
  <c r="M20" i="35"/>
  <c r="L20" i="35"/>
  <c r="Q20" i="35" s="1"/>
  <c r="N20" i="35" s="1"/>
  <c r="F20" i="35"/>
  <c r="D20" i="35"/>
  <c r="Q19" i="35"/>
  <c r="N19" i="35" s="1"/>
  <c r="M19" i="35"/>
  <c r="L19" i="35"/>
  <c r="F19" i="35"/>
  <c r="D19" i="35"/>
  <c r="Q18" i="35"/>
  <c r="N18" i="35"/>
  <c r="M18" i="35"/>
  <c r="L18" i="35"/>
  <c r="F18" i="35"/>
  <c r="D18" i="35"/>
  <c r="Q17" i="35"/>
  <c r="N17" i="35" s="1"/>
  <c r="M17" i="35"/>
  <c r="L17" i="35"/>
  <c r="F17" i="35"/>
  <c r="D17" i="35"/>
  <c r="M16" i="35"/>
  <c r="L16" i="35"/>
  <c r="Q16" i="35" s="1"/>
  <c r="N16" i="35" s="1"/>
  <c r="F16" i="35"/>
  <c r="D16" i="35"/>
  <c r="Q15" i="35"/>
  <c r="N15" i="35" s="1"/>
  <c r="M15" i="35"/>
  <c r="L15" i="35"/>
  <c r="F15" i="35"/>
  <c r="D15" i="35"/>
  <c r="M14" i="35"/>
  <c r="L14" i="35"/>
  <c r="Q14" i="35" s="1"/>
  <c r="N14" i="35" s="1"/>
  <c r="F14" i="35"/>
  <c r="D14" i="35"/>
  <c r="M13" i="35"/>
  <c r="L13" i="35"/>
  <c r="Q13" i="35" s="1"/>
  <c r="N13" i="35" s="1"/>
  <c r="F13" i="35"/>
  <c r="D13" i="35"/>
  <c r="M12" i="35"/>
  <c r="L12" i="35"/>
  <c r="F12" i="35"/>
  <c r="D12" i="35"/>
  <c r="J8" i="35"/>
  <c r="I8" i="35"/>
  <c r="E148" i="35" s="1"/>
  <c r="H8" i="35"/>
  <c r="D148" i="35" s="1"/>
  <c r="D8" i="35"/>
  <c r="C148" i="35" s="1"/>
  <c r="A8" i="35"/>
  <c r="A148" i="35" s="1"/>
  <c r="H5" i="35"/>
  <c r="K140" i="35" s="1"/>
  <c r="S15" i="50"/>
  <c r="M24" i="50"/>
  <c r="K24" i="50"/>
  <c r="W13" i="50"/>
  <c r="N10" i="50"/>
  <c r="I6" i="50"/>
  <c r="T20" i="50"/>
  <c r="O21" i="50"/>
  <c r="W20" i="50"/>
  <c r="S21" i="50"/>
  <c r="X23" i="50"/>
  <c r="X17" i="50"/>
  <c r="R8" i="50"/>
  <c r="N20" i="50"/>
  <c r="M23" i="50"/>
  <c r="K7" i="50"/>
  <c r="H20" i="50"/>
  <c r="J12" i="50"/>
  <c r="J10" i="50"/>
  <c r="I10" i="50"/>
  <c r="J21" i="50"/>
  <c r="L11" i="50"/>
  <c r="K13" i="50"/>
  <c r="J6" i="50"/>
  <c r="U9" i="50"/>
  <c r="J17" i="50"/>
  <c r="Q13" i="50"/>
  <c r="O18" i="50"/>
  <c r="N6" i="50"/>
  <c r="R5" i="50"/>
  <c r="T2" i="50"/>
  <c r="L3" i="50"/>
  <c r="I4" i="50"/>
  <c r="L13" i="50"/>
  <c r="S7" i="50"/>
  <c r="Q15" i="50"/>
  <c r="Q12" i="50"/>
  <c r="K6" i="50"/>
  <c r="S12" i="50"/>
  <c r="O14" i="50"/>
  <c r="U14" i="50"/>
  <c r="T4" i="50"/>
  <c r="I12" i="50"/>
  <c r="S24" i="50"/>
  <c r="P17" i="50"/>
  <c r="M14" i="50"/>
  <c r="S11" i="50"/>
  <c r="I15" i="50"/>
  <c r="I19" i="50"/>
  <c r="R6" i="50"/>
  <c r="K22" i="50"/>
  <c r="M6" i="50"/>
  <c r="W7" i="50"/>
  <c r="I7" i="50"/>
  <c r="S20" i="50"/>
  <c r="W12" i="50"/>
  <c r="L6" i="50"/>
  <c r="S6" i="50"/>
  <c r="U22" i="50"/>
  <c r="I9" i="50"/>
  <c r="R18" i="50"/>
  <c r="R10" i="50"/>
  <c r="K23" i="50"/>
  <c r="T21" i="50"/>
  <c r="J2" i="50"/>
  <c r="U19" i="50"/>
  <c r="L9" i="50"/>
  <c r="S17" i="50"/>
  <c r="L22" i="50"/>
  <c r="P7" i="50"/>
  <c r="I14" i="50"/>
  <c r="T15" i="50"/>
  <c r="U2" i="50"/>
  <c r="W18" i="50"/>
  <c r="O17" i="50"/>
  <c r="U7" i="50"/>
  <c r="I23" i="50"/>
  <c r="W6" i="50"/>
  <c r="W24" i="50"/>
  <c r="X6" i="50"/>
  <c r="S13" i="50"/>
  <c r="H18" i="50"/>
  <c r="T18" i="50"/>
  <c r="K15" i="50"/>
  <c r="J11" i="50"/>
  <c r="W2" i="50"/>
  <c r="J16" i="50"/>
  <c r="W16" i="50"/>
  <c r="N13" i="50"/>
  <c r="S16" i="50"/>
  <c r="N22" i="50"/>
  <c r="V24" i="50"/>
  <c r="S18" i="50"/>
  <c r="W11" i="50"/>
  <c r="K12" i="50"/>
  <c r="J19" i="50"/>
  <c r="N12" i="50"/>
  <c r="H11" i="50"/>
  <c r="H24" i="50"/>
  <c r="X10" i="50"/>
  <c r="T3" i="50"/>
  <c r="W22" i="50"/>
  <c r="S5" i="50"/>
  <c r="M20" i="50"/>
  <c r="X13" i="50"/>
  <c r="I16" i="50"/>
  <c r="N14" i="50"/>
  <c r="O13" i="50"/>
  <c r="K8" i="50"/>
  <c r="T17" i="50"/>
  <c r="W10" i="50"/>
  <c r="M12" i="50"/>
  <c r="V5" i="50"/>
  <c r="N3" i="50"/>
  <c r="X20" i="50"/>
  <c r="P13" i="50"/>
  <c r="K10" i="50"/>
  <c r="W5" i="50"/>
  <c r="T16" i="50"/>
  <c r="R12" i="50"/>
  <c r="Q4" i="50"/>
  <c r="M21" i="50"/>
  <c r="X4" i="50"/>
  <c r="P19" i="50"/>
  <c r="P8" i="50"/>
  <c r="R14" i="50"/>
  <c r="N2" i="50"/>
  <c r="J13" i="50"/>
  <c r="Y23" i="50"/>
  <c r="X3" i="50"/>
  <c r="W19" i="50"/>
  <c r="O22" i="50"/>
  <c r="P18" i="50"/>
  <c r="M4" i="50"/>
  <c r="U24" i="50"/>
  <c r="W9" i="50"/>
  <c r="V4" i="50"/>
  <c r="Q5" i="50"/>
  <c r="P5" i="50"/>
  <c r="I13" i="50"/>
  <c r="S3" i="50"/>
  <c r="R20" i="50"/>
  <c r="I24" i="50"/>
  <c r="V16" i="50"/>
  <c r="W17" i="50"/>
  <c r="N7" i="50"/>
  <c r="X9" i="50"/>
  <c r="X15" i="50"/>
  <c r="P14" i="50"/>
  <c r="U17" i="50"/>
  <c r="Y21" i="50"/>
  <c r="Q20" i="50"/>
  <c r="V17" i="50"/>
  <c r="R9" i="50"/>
  <c r="U4" i="50"/>
  <c r="L24" i="50"/>
  <c r="M15" i="50"/>
  <c r="N5" i="50"/>
  <c r="I21" i="50"/>
  <c r="S2" i="50"/>
  <c r="K3" i="50"/>
  <c r="X12" i="50"/>
  <c r="T24" i="50"/>
  <c r="P4" i="50"/>
  <c r="J15" i="50"/>
  <c r="N24" i="50"/>
  <c r="T23" i="50"/>
  <c r="O5" i="50"/>
  <c r="H23" i="50"/>
  <c r="K11" i="50"/>
  <c r="V10" i="50"/>
  <c r="J23" i="50"/>
  <c r="H19" i="50"/>
  <c r="K14" i="50"/>
  <c r="J14" i="50"/>
  <c r="M5" i="50"/>
  <c r="I8" i="50"/>
  <c r="Q19" i="50"/>
  <c r="O20" i="50"/>
  <c r="M22" i="50"/>
  <c r="Y15" i="50"/>
  <c r="K18" i="50"/>
  <c r="R3" i="50"/>
  <c r="L4" i="50"/>
  <c r="N23" i="50"/>
  <c r="K19" i="50"/>
  <c r="X8" i="50"/>
  <c r="N4" i="50"/>
  <c r="I5" i="50"/>
  <c r="R22" i="50"/>
  <c r="U16" i="50"/>
  <c r="U11" i="50"/>
  <c r="T19" i="50"/>
  <c r="P16" i="50"/>
  <c r="Q9" i="50"/>
  <c r="U23" i="50"/>
  <c r="R4" i="50"/>
  <c r="L5" i="50"/>
  <c r="H10" i="50"/>
  <c r="T7" i="50"/>
  <c r="Q24" i="50"/>
  <c r="P2" i="50"/>
  <c r="M16" i="50"/>
  <c r="R2" i="50"/>
  <c r="S4" i="50"/>
  <c r="V15" i="50"/>
  <c r="X16" i="50"/>
  <c r="R13" i="50"/>
  <c r="Y4" i="50"/>
  <c r="I3" i="50"/>
  <c r="N21" i="50"/>
  <c r="L21" i="50"/>
  <c r="W21" i="50"/>
  <c r="W14" i="50"/>
  <c r="V20" i="50"/>
  <c r="M19" i="50"/>
  <c r="Q6" i="50"/>
  <c r="Q21" i="50"/>
  <c r="X18" i="50"/>
  <c r="N18" i="50"/>
  <c r="U6" i="50"/>
  <c r="H21" i="50"/>
  <c r="S23" i="50"/>
  <c r="Q11" i="50"/>
  <c r="J4" i="50"/>
  <c r="Q22" i="50"/>
  <c r="R19" i="50"/>
  <c r="V12" i="50"/>
  <c r="T8" i="50"/>
  <c r="X2" i="50"/>
  <c r="O24" i="50"/>
  <c r="Q23" i="50"/>
  <c r="W23" i="50"/>
  <c r="U12" i="50"/>
  <c r="S19" i="50"/>
  <c r="J5" i="50"/>
  <c r="P20" i="50"/>
  <c r="Q14" i="50"/>
  <c r="M13" i="50"/>
  <c r="J9" i="50"/>
  <c r="Q18" i="50"/>
  <c r="J18" i="50"/>
  <c r="P23" i="50"/>
  <c r="V18" i="50"/>
  <c r="N16" i="50"/>
  <c r="J8" i="50"/>
  <c r="U21" i="50"/>
  <c r="H15" i="50"/>
  <c r="T9" i="50"/>
  <c r="O15" i="50"/>
  <c r="H3" i="50"/>
  <c r="V21" i="50"/>
  <c r="P15" i="50"/>
  <c r="V9" i="50"/>
  <c r="T6" i="50"/>
  <c r="N8" i="50"/>
  <c r="H22" i="50"/>
  <c r="L8" i="50"/>
  <c r="K4" i="50"/>
  <c r="U20" i="50"/>
  <c r="W4" i="50"/>
  <c r="I18" i="50"/>
  <c r="O7" i="50"/>
  <c r="P24" i="50"/>
  <c r="V6" i="50"/>
  <c r="L16" i="50"/>
  <c r="U8" i="50"/>
  <c r="W3" i="50"/>
  <c r="Q2" i="50"/>
  <c r="J22" i="50"/>
  <c r="H5" i="50"/>
  <c r="V14" i="50"/>
  <c r="P12" i="50"/>
  <c r="X24" i="50"/>
  <c r="S14" i="50"/>
  <c r="L20" i="50"/>
  <c r="T22" i="50"/>
  <c r="P9" i="50"/>
  <c r="N17" i="50"/>
  <c r="L10" i="50"/>
  <c r="M18" i="50"/>
  <c r="I2" i="50"/>
  <c r="Q17" i="50"/>
  <c r="H16" i="50"/>
  <c r="N15" i="50"/>
  <c r="T12" i="50"/>
  <c r="N19" i="50"/>
  <c r="S9" i="50"/>
  <c r="P11" i="50"/>
  <c r="V23" i="50"/>
  <c r="K2" i="50"/>
  <c r="U13" i="50"/>
  <c r="X7" i="50"/>
  <c r="R23" i="50"/>
  <c r="I20" i="50"/>
  <c r="P21" i="50"/>
  <c r="V13" i="50"/>
  <c r="L7" i="50"/>
  <c r="P3" i="50"/>
  <c r="I22" i="50"/>
  <c r="S22" i="50"/>
  <c r="U5" i="50"/>
  <c r="I17" i="50"/>
  <c r="R15" i="50"/>
  <c r="V7" i="50"/>
  <c r="V11" i="50"/>
  <c r="K17" i="50"/>
  <c r="L14" i="50"/>
  <c r="U3" i="50"/>
  <c r="X21" i="50"/>
  <c r="P6" i="50"/>
  <c r="L2" i="50"/>
  <c r="J24" i="50"/>
  <c r="H2" i="50"/>
  <c r="X22" i="50"/>
  <c r="V3" i="50"/>
  <c r="J3" i="50"/>
  <c r="M2" i="50"/>
  <c r="Q8" i="50"/>
  <c r="Q3" i="50"/>
  <c r="R7" i="50"/>
  <c r="S10" i="50"/>
  <c r="X11" i="50"/>
  <c r="T14" i="50"/>
  <c r="H9" i="50"/>
  <c r="M7" i="50"/>
  <c r="K5" i="50"/>
  <c r="X14" i="50"/>
  <c r="P22" i="50"/>
  <c r="O23" i="50"/>
  <c r="X5" i="50"/>
  <c r="R21" i="50"/>
  <c r="U18" i="50"/>
  <c r="V22" i="50"/>
  <c r="T13" i="50"/>
  <c r="T11" i="50"/>
  <c r="R16" i="50"/>
  <c r="R17" i="50"/>
  <c r="M3" i="50"/>
  <c r="Q16" i="50"/>
  <c r="R24" i="50"/>
  <c r="T5" i="50"/>
  <c r="U15" i="50"/>
  <c r="O4" i="50"/>
  <c r="V19" i="50"/>
  <c r="V2" i="50"/>
  <c r="V8" i="50"/>
  <c r="R11" i="50"/>
  <c r="K20" i="50"/>
  <c r="M17" i="50"/>
  <c r="W8" i="50"/>
  <c r="X19" i="50"/>
  <c r="Q7" i="50"/>
  <c r="W15" i="50"/>
  <c r="S8" i="50"/>
  <c r="AC23" i="50" l="1"/>
  <c r="AI23" i="50"/>
  <c r="AJ23" i="50"/>
  <c r="AK23" i="50"/>
  <c r="AH23" i="50"/>
  <c r="AB23" i="50"/>
  <c r="AF23" i="50"/>
  <c r="AG23" i="50"/>
  <c r="AL23" i="50"/>
  <c r="AM23" i="50"/>
  <c r="AD23" i="50"/>
  <c r="AA23" i="50"/>
  <c r="AE23" i="50"/>
  <c r="BA19" i="50"/>
  <c r="AP19" i="50"/>
  <c r="AQ19" i="50"/>
  <c r="AR19" i="50"/>
  <c r="AO19" i="50"/>
  <c r="AS19" i="50"/>
  <c r="AZ19" i="50"/>
  <c r="AT19" i="50"/>
  <c r="AU19" i="50"/>
  <c r="AV19" i="50"/>
  <c r="AW19" i="50"/>
  <c r="AX19" i="50"/>
  <c r="AY19" i="50"/>
  <c r="AQ20" i="50"/>
  <c r="AO20" i="50"/>
  <c r="AZ20" i="50"/>
  <c r="AR20" i="50"/>
  <c r="AS20" i="50"/>
  <c r="AT20" i="50"/>
  <c r="AU20" i="50"/>
  <c r="AV20" i="50"/>
  <c r="BA20" i="50"/>
  <c r="AW20" i="50"/>
  <c r="AX20" i="50"/>
  <c r="AP20" i="50"/>
  <c r="AY20" i="50"/>
  <c r="AW15" i="50"/>
  <c r="AX15" i="50"/>
  <c r="AY15" i="50"/>
  <c r="AP15" i="50"/>
  <c r="AO15" i="50"/>
  <c r="AQ15" i="50"/>
  <c r="AR15" i="50"/>
  <c r="AS15" i="50"/>
  <c r="AT15" i="50"/>
  <c r="BA15" i="50"/>
  <c r="AU15" i="50"/>
  <c r="AZ15" i="50"/>
  <c r="AV15" i="50"/>
  <c r="AW16" i="50"/>
  <c r="AX16" i="50"/>
  <c r="AY16" i="50"/>
  <c r="AP16" i="50"/>
  <c r="AV16" i="50"/>
  <c r="AZ16" i="50"/>
  <c r="AO16" i="50"/>
  <c r="BA16" i="50"/>
  <c r="AQ16" i="50"/>
  <c r="AR16" i="50"/>
  <c r="AS16" i="50"/>
  <c r="AT16" i="50"/>
  <c r="AU16" i="50"/>
  <c r="H148" i="45"/>
  <c r="H148" i="41"/>
  <c r="W148" i="41" s="1"/>
  <c r="H148" i="49"/>
  <c r="W148" i="49" s="1"/>
  <c r="K134" i="49"/>
  <c r="AR18" i="50"/>
  <c r="AS18" i="50"/>
  <c r="AT18" i="50"/>
  <c r="AU18" i="50"/>
  <c r="AO18" i="50"/>
  <c r="AV18" i="50"/>
  <c r="BA18" i="50"/>
  <c r="AW18" i="50"/>
  <c r="AZ18" i="50"/>
  <c r="AY18" i="50"/>
  <c r="AP18" i="50"/>
  <c r="AX18" i="50"/>
  <c r="AQ18" i="50"/>
  <c r="AR9" i="50"/>
  <c r="AS9" i="50"/>
  <c r="AO9" i="50"/>
  <c r="AT9" i="50"/>
  <c r="AU9" i="50"/>
  <c r="AV9" i="50"/>
  <c r="AZ9" i="50"/>
  <c r="AW9" i="50"/>
  <c r="AX9" i="50"/>
  <c r="AY9" i="50"/>
  <c r="AP9" i="50"/>
  <c r="BA9" i="50"/>
  <c r="AQ9" i="50"/>
  <c r="AG24" i="50"/>
  <c r="AH24" i="50"/>
  <c r="AI24" i="50"/>
  <c r="AK24" i="50"/>
  <c r="AC24" i="50"/>
  <c r="AL24" i="50"/>
  <c r="AB24" i="50"/>
  <c r="AD24" i="50"/>
  <c r="AA24" i="50"/>
  <c r="AE24" i="50"/>
  <c r="AF24" i="50"/>
  <c r="AV24" i="50"/>
  <c r="AT24" i="50"/>
  <c r="AW23" i="50"/>
  <c r="AP12" i="50"/>
  <c r="BA12" i="50"/>
  <c r="AQ12" i="50"/>
  <c r="AR12" i="50"/>
  <c r="AS12" i="50"/>
  <c r="AT12" i="50"/>
  <c r="AU12" i="50"/>
  <c r="AV12" i="50"/>
  <c r="AW12" i="50"/>
  <c r="AX12" i="50"/>
  <c r="AY12" i="50"/>
  <c r="AZ12" i="50"/>
  <c r="AZ23" i="50"/>
  <c r="AP11" i="50"/>
  <c r="BA11" i="50"/>
  <c r="AQ11" i="50"/>
  <c r="AR11" i="50"/>
  <c r="AS11" i="50"/>
  <c r="AT11" i="50"/>
  <c r="AU11" i="50"/>
  <c r="AV11" i="50"/>
  <c r="AW11" i="50"/>
  <c r="AX11" i="50"/>
  <c r="AZ11" i="50"/>
  <c r="AY11" i="50"/>
  <c r="AP13" i="50"/>
  <c r="BA13" i="50"/>
  <c r="AQ13" i="50"/>
  <c r="AR13" i="50"/>
  <c r="AS13" i="50"/>
  <c r="AT13" i="50"/>
  <c r="AU13" i="50"/>
  <c r="AV13" i="50"/>
  <c r="AZ13" i="50"/>
  <c r="AW13" i="50"/>
  <c r="AX13" i="50"/>
  <c r="AY13" i="50"/>
  <c r="AP7" i="50"/>
  <c r="AQ7" i="50"/>
  <c r="AR7" i="50"/>
  <c r="AS7" i="50"/>
  <c r="AT7" i="50"/>
  <c r="AU7" i="50"/>
  <c r="AV7" i="50"/>
  <c r="AZ7" i="50"/>
  <c r="BA7" i="50"/>
  <c r="AW7" i="50"/>
  <c r="AX7" i="50"/>
  <c r="AY7" i="50"/>
  <c r="AW24" i="50"/>
  <c r="AP4" i="50"/>
  <c r="AQ4" i="50"/>
  <c r="AR4" i="50"/>
  <c r="AS4" i="50"/>
  <c r="AT4" i="50"/>
  <c r="BA4" i="50"/>
  <c r="AU4" i="50"/>
  <c r="AV4" i="50"/>
  <c r="AZ4" i="50"/>
  <c r="AW4" i="50"/>
  <c r="AX4" i="50"/>
  <c r="AY4" i="50"/>
  <c r="AS24" i="50"/>
  <c r="AU24" i="50"/>
  <c r="AT23" i="50"/>
  <c r="AZ24" i="50"/>
  <c r="AP6" i="50"/>
  <c r="AQ6" i="50"/>
  <c r="BA6" i="50"/>
  <c r="AR6" i="50"/>
  <c r="AS6" i="50"/>
  <c r="AT6" i="50"/>
  <c r="AU6" i="50"/>
  <c r="AZ6" i="50"/>
  <c r="AV6" i="50"/>
  <c r="AW6" i="50"/>
  <c r="AX6" i="50"/>
  <c r="AY6" i="50"/>
  <c r="AP22" i="50"/>
  <c r="AQ22" i="50"/>
  <c r="AR22" i="50"/>
  <c r="AS22" i="50"/>
  <c r="AT22" i="50"/>
  <c r="AU22" i="50"/>
  <c r="AV22" i="50"/>
  <c r="BA22" i="50"/>
  <c r="AW22" i="50"/>
  <c r="AZ22" i="50"/>
  <c r="AX22" i="50"/>
  <c r="AY22" i="50"/>
  <c r="AP21" i="50"/>
  <c r="BA21" i="50"/>
  <c r="AQ21" i="50"/>
  <c r="AR21" i="50"/>
  <c r="AS21" i="50"/>
  <c r="AT21" i="50"/>
  <c r="AU21" i="50"/>
  <c r="AV21" i="50"/>
  <c r="AZ21" i="50"/>
  <c r="AW21" i="50"/>
  <c r="AX21" i="50"/>
  <c r="AY21" i="50"/>
  <c r="AP23" i="50"/>
  <c r="AQ23" i="50"/>
  <c r="AQ24" i="50"/>
  <c r="AP5" i="50"/>
  <c r="AQ5" i="50"/>
  <c r="AR5" i="50"/>
  <c r="BA5" i="50"/>
  <c r="AS5" i="50"/>
  <c r="AT5" i="50"/>
  <c r="AU5" i="50"/>
  <c r="AV5" i="50"/>
  <c r="AW5" i="50"/>
  <c r="AZ5" i="50"/>
  <c r="AX5" i="50"/>
  <c r="AY5" i="50"/>
  <c r="AR24" i="50"/>
  <c r="AV23" i="50"/>
  <c r="AP24" i="50"/>
  <c r="AR23" i="50"/>
  <c r="AX23" i="50"/>
  <c r="AP10" i="50"/>
  <c r="AQ10" i="50"/>
  <c r="AR10" i="50"/>
  <c r="AS10" i="50"/>
  <c r="AT10" i="50"/>
  <c r="AU10" i="50"/>
  <c r="AZ10" i="50"/>
  <c r="BA10" i="50"/>
  <c r="AV10" i="50"/>
  <c r="AW10" i="50"/>
  <c r="AX10" i="50"/>
  <c r="AY10" i="50"/>
  <c r="AY23" i="50"/>
  <c r="AP2" i="50"/>
  <c r="AQ2" i="50"/>
  <c r="AR2" i="50"/>
  <c r="AS2" i="50"/>
  <c r="AT2" i="50"/>
  <c r="AU2" i="50"/>
  <c r="AV2" i="50"/>
  <c r="AW2" i="50"/>
  <c r="AX2" i="50"/>
  <c r="AY2" i="50"/>
  <c r="AZ2" i="50"/>
  <c r="BA2" i="50"/>
  <c r="AY24" i="50"/>
  <c r="AU23" i="50"/>
  <c r="AP8" i="50"/>
  <c r="AQ8" i="50"/>
  <c r="AR8" i="50"/>
  <c r="AS8" i="50"/>
  <c r="BA8" i="50"/>
  <c r="AT8" i="50"/>
  <c r="AU8" i="50"/>
  <c r="AV8" i="50"/>
  <c r="AW8" i="50"/>
  <c r="AZ8" i="50"/>
  <c r="AX8" i="50"/>
  <c r="AY8" i="50"/>
  <c r="AP3" i="50"/>
  <c r="AQ3" i="50"/>
  <c r="AR3" i="50"/>
  <c r="AS3" i="50"/>
  <c r="AT3" i="50"/>
  <c r="AU3" i="50"/>
  <c r="AV3" i="50"/>
  <c r="AW3" i="50"/>
  <c r="AX3" i="50"/>
  <c r="AZ3" i="50"/>
  <c r="BA3" i="50"/>
  <c r="AY3" i="50"/>
  <c r="AS23" i="50"/>
  <c r="BA23" i="50"/>
  <c r="AO12" i="50"/>
  <c r="AO24" i="50"/>
  <c r="AO11" i="50"/>
  <c r="AO13" i="50"/>
  <c r="AO7" i="50"/>
  <c r="AO4" i="50"/>
  <c r="AO6" i="50"/>
  <c r="AO22" i="50"/>
  <c r="AO21" i="50"/>
  <c r="AO5" i="50"/>
  <c r="AO10" i="50"/>
  <c r="AO23" i="50"/>
  <c r="AO8" i="50"/>
  <c r="AO3" i="50"/>
  <c r="AO2" i="50"/>
  <c r="AJ15" i="50"/>
  <c r="AH9" i="50"/>
  <c r="AL19" i="50"/>
  <c r="AH16" i="50"/>
  <c r="AB20" i="50"/>
  <c r="AJ18" i="50"/>
  <c r="AB14" i="50"/>
  <c r="AB18" i="50"/>
  <c r="AB12" i="50"/>
  <c r="AD12" i="50"/>
  <c r="AE12" i="50"/>
  <c r="AF12" i="50"/>
  <c r="AG12" i="50"/>
  <c r="AH12" i="50"/>
  <c r="AI12" i="50"/>
  <c r="AJ12" i="50"/>
  <c r="AK12" i="50"/>
  <c r="AL12" i="50"/>
  <c r="AJ19" i="50"/>
  <c r="AG14" i="50"/>
  <c r="AF9" i="50"/>
  <c r="AI14" i="50"/>
  <c r="AL9" i="50"/>
  <c r="AB16" i="50"/>
  <c r="AL17" i="50"/>
  <c r="AJ14" i="50"/>
  <c r="AG19" i="50"/>
  <c r="AD19" i="50"/>
  <c r="AD11" i="50"/>
  <c r="AE11" i="50"/>
  <c r="AF11" i="50"/>
  <c r="AG11" i="50"/>
  <c r="AH11" i="50"/>
  <c r="AI11" i="50"/>
  <c r="AK11" i="50"/>
  <c r="AJ11" i="50"/>
  <c r="AL11" i="50"/>
  <c r="AE17" i="50"/>
  <c r="AE16" i="50"/>
  <c r="AJ17" i="50"/>
  <c r="AK15" i="50"/>
  <c r="AB13" i="50"/>
  <c r="AD13" i="50"/>
  <c r="AE13" i="50"/>
  <c r="AF13" i="50"/>
  <c r="AG13" i="50"/>
  <c r="AH13" i="50"/>
  <c r="AI13" i="50"/>
  <c r="AK13" i="50"/>
  <c r="AJ13" i="50"/>
  <c r="AC13" i="50"/>
  <c r="AL13" i="50"/>
  <c r="AF16" i="50"/>
  <c r="AB7" i="50"/>
  <c r="AD7" i="50"/>
  <c r="AE7" i="50"/>
  <c r="AF7" i="50"/>
  <c r="AG7" i="50"/>
  <c r="AH7" i="50"/>
  <c r="AC7" i="50"/>
  <c r="AI7" i="50"/>
  <c r="AK7" i="50"/>
  <c r="AJ7" i="50"/>
  <c r="AL7" i="50"/>
  <c r="AM7" i="50"/>
  <c r="AJ16" i="50"/>
  <c r="AD16" i="50"/>
  <c r="AD9" i="50"/>
  <c r="AF15" i="50"/>
  <c r="AK9" i="50"/>
  <c r="AK19" i="50"/>
  <c r="AL16" i="50"/>
  <c r="AG15" i="50"/>
  <c r="AB19" i="50"/>
  <c r="AE20" i="50"/>
  <c r="AD20" i="50"/>
  <c r="AL20" i="50"/>
  <c r="AK20" i="50"/>
  <c r="AI19" i="50"/>
  <c r="AC4" i="50"/>
  <c r="AD4" i="50"/>
  <c r="AE4" i="50"/>
  <c r="AF4" i="50"/>
  <c r="AG4" i="50"/>
  <c r="AH4" i="50"/>
  <c r="AI4" i="50"/>
  <c r="AK4" i="50"/>
  <c r="AJ4" i="50"/>
  <c r="AB4" i="50"/>
  <c r="AL4" i="50"/>
  <c r="AM4" i="50"/>
  <c r="AF19" i="50"/>
  <c r="AE9" i="50"/>
  <c r="AL15" i="50"/>
  <c r="AB6" i="50"/>
  <c r="AD6" i="50"/>
  <c r="AE6" i="50"/>
  <c r="AF6" i="50"/>
  <c r="AG6" i="50"/>
  <c r="AH6" i="50"/>
  <c r="AI6" i="50"/>
  <c r="AK6" i="50"/>
  <c r="AJ6" i="50"/>
  <c r="AL6" i="50"/>
  <c r="AB15" i="50"/>
  <c r="AJ9" i="50"/>
  <c r="AC15" i="50"/>
  <c r="AH17" i="50"/>
  <c r="AI17" i="50"/>
  <c r="AJ20" i="50"/>
  <c r="AI15" i="50"/>
  <c r="AI18" i="50"/>
  <c r="AE14" i="50"/>
  <c r="AK17" i="50"/>
  <c r="AB22" i="50"/>
  <c r="AC22" i="50"/>
  <c r="AD22" i="50"/>
  <c r="AE22" i="50"/>
  <c r="AF22" i="50"/>
  <c r="AG22" i="50"/>
  <c r="AH22" i="50"/>
  <c r="AI22" i="50"/>
  <c r="AK22" i="50"/>
  <c r="AJ22" i="50"/>
  <c r="AL22" i="50"/>
  <c r="AM22" i="50"/>
  <c r="AB21" i="50"/>
  <c r="AD21" i="50"/>
  <c r="AE21" i="50"/>
  <c r="AF21" i="50"/>
  <c r="AG21" i="50"/>
  <c r="AH21" i="50"/>
  <c r="AC21" i="50"/>
  <c r="AI21" i="50"/>
  <c r="AK21" i="50"/>
  <c r="AJ21" i="50"/>
  <c r="AL21" i="50"/>
  <c r="AM21" i="50"/>
  <c r="AG9" i="50"/>
  <c r="AE18" i="50"/>
  <c r="AI20" i="50"/>
  <c r="AL14" i="50"/>
  <c r="AH20" i="50"/>
  <c r="AF20" i="50"/>
  <c r="AC14" i="50"/>
  <c r="AC18" i="50"/>
  <c r="AH14" i="50"/>
  <c r="AE19" i="50"/>
  <c r="AK18" i="50"/>
  <c r="AB5" i="50"/>
  <c r="AD5" i="50"/>
  <c r="AE5" i="50"/>
  <c r="AF5" i="50"/>
  <c r="AG5" i="50"/>
  <c r="AH5" i="50"/>
  <c r="AC5" i="50"/>
  <c r="AI5" i="50"/>
  <c r="AK5" i="50"/>
  <c r="AJ5" i="50"/>
  <c r="AL5" i="50"/>
  <c r="AM5" i="50"/>
  <c r="AG18" i="50"/>
  <c r="AH15" i="50"/>
  <c r="AL18" i="50"/>
  <c r="AD14" i="50"/>
  <c r="AB10" i="50"/>
  <c r="AF10" i="50"/>
  <c r="AG10" i="50"/>
  <c r="AK10" i="50"/>
  <c r="AJ10" i="50"/>
  <c r="AL10" i="50"/>
  <c r="AD18" i="50"/>
  <c r="AD17" i="50"/>
  <c r="AK16" i="50"/>
  <c r="AK14" i="50"/>
  <c r="AB17" i="50"/>
  <c r="AD2" i="50"/>
  <c r="AE2" i="50"/>
  <c r="AF2" i="50"/>
  <c r="AG2" i="50"/>
  <c r="AH2" i="50"/>
  <c r="AI2" i="50"/>
  <c r="AJ2" i="50"/>
  <c r="AK2" i="50"/>
  <c r="AL2" i="50"/>
  <c r="AB2" i="50"/>
  <c r="AH18" i="50"/>
  <c r="AF18" i="50"/>
  <c r="AG16" i="50"/>
  <c r="AI9" i="50"/>
  <c r="AG17" i="50"/>
  <c r="AD15" i="50"/>
  <c r="AB8" i="50"/>
  <c r="AD8" i="50"/>
  <c r="AE8" i="50"/>
  <c r="AF8" i="50"/>
  <c r="AG8" i="50"/>
  <c r="AH8" i="50"/>
  <c r="AI8" i="50"/>
  <c r="AJ8" i="50"/>
  <c r="AK8" i="50"/>
  <c r="AL8" i="50"/>
  <c r="AF14" i="50"/>
  <c r="AE15" i="50"/>
  <c r="AD3" i="50"/>
  <c r="AE3" i="50"/>
  <c r="AF3" i="50"/>
  <c r="AG3" i="50"/>
  <c r="AH3" i="50"/>
  <c r="AI3" i="50"/>
  <c r="AK3" i="50"/>
  <c r="AB3" i="50"/>
  <c r="AJ3" i="50"/>
  <c r="AL3" i="50"/>
  <c r="AH19" i="50"/>
  <c r="AC20" i="50"/>
  <c r="AG20" i="50"/>
  <c r="AI16" i="50"/>
  <c r="AF17" i="50"/>
  <c r="AM15" i="50"/>
  <c r="AC17" i="50"/>
  <c r="AA12" i="50"/>
  <c r="AA15" i="50"/>
  <c r="AA20" i="50"/>
  <c r="AA13" i="50"/>
  <c r="AA7" i="50"/>
  <c r="AA14" i="50"/>
  <c r="AA4" i="50"/>
  <c r="AA6" i="50"/>
  <c r="AA18" i="50"/>
  <c r="AA22" i="50"/>
  <c r="AA21" i="50"/>
  <c r="AA19" i="50"/>
  <c r="AA5" i="50"/>
  <c r="AA17" i="50"/>
  <c r="AA16" i="50"/>
  <c r="AA3" i="50"/>
  <c r="AA2" i="50"/>
  <c r="T148" i="47"/>
  <c r="K134" i="47"/>
  <c r="F2" i="50"/>
  <c r="M35" i="43"/>
  <c r="M35" i="49"/>
  <c r="L32" i="49"/>
  <c r="M32" i="49"/>
  <c r="R20" i="49" s="1"/>
  <c r="O20" i="49" s="1"/>
  <c r="P20" i="49" s="1"/>
  <c r="R31" i="49"/>
  <c r="O31" i="49" s="1"/>
  <c r="P31" i="49" s="1"/>
  <c r="R13" i="49"/>
  <c r="O13" i="49" s="1"/>
  <c r="P13" i="49" s="1"/>
  <c r="Q12" i="49"/>
  <c r="N12" i="49" s="1"/>
  <c r="M32" i="47"/>
  <c r="L113" i="46"/>
  <c r="M35" i="46" s="1"/>
  <c r="L50" i="46"/>
  <c r="M50" i="46" s="1"/>
  <c r="Q50" i="46"/>
  <c r="R50" i="46"/>
  <c r="Q12" i="46"/>
  <c r="N12" i="46" s="1"/>
  <c r="L113" i="45"/>
  <c r="M35" i="45" s="1"/>
  <c r="L32" i="45"/>
  <c r="A134" i="45" s="1"/>
  <c r="K134" i="45" s="1"/>
  <c r="M32" i="45"/>
  <c r="R18" i="45" s="1"/>
  <c r="O18" i="45" s="1"/>
  <c r="P18" i="45" s="1"/>
  <c r="R18" i="47"/>
  <c r="O18" i="47" s="1"/>
  <c r="P18" i="47" s="1"/>
  <c r="R14" i="47"/>
  <c r="O14" i="47" s="1"/>
  <c r="P14" i="47" s="1"/>
  <c r="R20" i="47"/>
  <c r="O20" i="47" s="1"/>
  <c r="P20" i="47" s="1"/>
  <c r="R29" i="47"/>
  <c r="O29" i="47" s="1"/>
  <c r="P29" i="47" s="1"/>
  <c r="R26" i="47"/>
  <c r="O26" i="47" s="1"/>
  <c r="P26" i="47" s="1"/>
  <c r="R23" i="47"/>
  <c r="O23" i="47" s="1"/>
  <c r="P23" i="47" s="1"/>
  <c r="R19" i="47"/>
  <c r="O19" i="47" s="1"/>
  <c r="P19" i="47" s="1"/>
  <c r="R15" i="47"/>
  <c r="O15" i="47" s="1"/>
  <c r="R12" i="47"/>
  <c r="O12" i="47" s="1"/>
  <c r="P12" i="47" s="1"/>
  <c r="R30" i="47"/>
  <c r="O30" i="47" s="1"/>
  <c r="P30" i="47" s="1"/>
  <c r="R27" i="47"/>
  <c r="O27" i="47" s="1"/>
  <c r="P27" i="47" s="1"/>
  <c r="R24" i="47"/>
  <c r="O24" i="47" s="1"/>
  <c r="P24" i="47" s="1"/>
  <c r="R16" i="47"/>
  <c r="O16" i="47" s="1"/>
  <c r="P16" i="47" s="1"/>
  <c r="R31" i="47"/>
  <c r="O31" i="47" s="1"/>
  <c r="P31" i="47" s="1"/>
  <c r="R28" i="47"/>
  <c r="O28" i="47" s="1"/>
  <c r="P28" i="47" s="1"/>
  <c r="R25" i="47"/>
  <c r="O25" i="47" s="1"/>
  <c r="P25" i="47" s="1"/>
  <c r="R21" i="47"/>
  <c r="O21" i="47" s="1"/>
  <c r="P21" i="47" s="1"/>
  <c r="R17" i="47"/>
  <c r="O17" i="47" s="1"/>
  <c r="P17" i="47" s="1"/>
  <c r="R13" i="47"/>
  <c r="O13" i="47" s="1"/>
  <c r="P13" i="47" s="1"/>
  <c r="W148" i="47"/>
  <c r="P15" i="47"/>
  <c r="L32" i="47"/>
  <c r="L113" i="44"/>
  <c r="M35" i="44" s="1"/>
  <c r="L50" i="44"/>
  <c r="M50" i="44" s="1"/>
  <c r="Q50" i="44"/>
  <c r="L32" i="44"/>
  <c r="Q32" i="44" s="1"/>
  <c r="N32" i="44" s="1"/>
  <c r="M32" i="44"/>
  <c r="R18" i="44" s="1"/>
  <c r="O18" i="44" s="1"/>
  <c r="P18" i="44" s="1"/>
  <c r="Q32" i="46"/>
  <c r="N32" i="46" s="1"/>
  <c r="A134" i="46"/>
  <c r="K134" i="46" s="1"/>
  <c r="R32" i="46"/>
  <c r="O32" i="46" s="1"/>
  <c r="R18" i="46"/>
  <c r="O18" i="46" s="1"/>
  <c r="P18" i="46" s="1"/>
  <c r="R14" i="46"/>
  <c r="O14" i="46" s="1"/>
  <c r="P14" i="46" s="1"/>
  <c r="R31" i="46"/>
  <c r="O31" i="46" s="1"/>
  <c r="P31" i="46" s="1"/>
  <c r="R29" i="46"/>
  <c r="O29" i="46" s="1"/>
  <c r="P29" i="46" s="1"/>
  <c r="R26" i="46"/>
  <c r="O26" i="46" s="1"/>
  <c r="P26" i="46" s="1"/>
  <c r="R23" i="46"/>
  <c r="O23" i="46" s="1"/>
  <c r="P23" i="46" s="1"/>
  <c r="R19" i="46"/>
  <c r="O19" i="46" s="1"/>
  <c r="P19" i="46" s="1"/>
  <c r="R15" i="46"/>
  <c r="O15" i="46" s="1"/>
  <c r="P15" i="46" s="1"/>
  <c r="R25" i="46"/>
  <c r="O25" i="46" s="1"/>
  <c r="P25" i="46" s="1"/>
  <c r="R21" i="46"/>
  <c r="O21" i="46" s="1"/>
  <c r="P21" i="46" s="1"/>
  <c r="R17" i="46"/>
  <c r="O17" i="46" s="1"/>
  <c r="P17" i="46" s="1"/>
  <c r="R13" i="46"/>
  <c r="O13" i="46" s="1"/>
  <c r="P13" i="46" s="1"/>
  <c r="R28" i="46"/>
  <c r="O28" i="46" s="1"/>
  <c r="P28" i="46" s="1"/>
  <c r="R30" i="46"/>
  <c r="O30" i="46" s="1"/>
  <c r="P30" i="46" s="1"/>
  <c r="R27" i="46"/>
  <c r="O27" i="46" s="1"/>
  <c r="P27" i="46" s="1"/>
  <c r="R24" i="46"/>
  <c r="O24" i="46" s="1"/>
  <c r="P24" i="46" s="1"/>
  <c r="R20" i="46"/>
  <c r="O20" i="46" s="1"/>
  <c r="P20" i="46" s="1"/>
  <c r="R16" i="46"/>
  <c r="O16" i="46" s="1"/>
  <c r="P16" i="46" s="1"/>
  <c r="R12" i="46"/>
  <c r="O12" i="46" s="1"/>
  <c r="P12" i="46" s="1"/>
  <c r="W148" i="46"/>
  <c r="Q50" i="43"/>
  <c r="L50" i="43"/>
  <c r="M50" i="43" s="1"/>
  <c r="R50" i="43"/>
  <c r="L32" i="43"/>
  <c r="A134" i="43" s="1"/>
  <c r="K134" i="43" s="1"/>
  <c r="M32" i="43"/>
  <c r="R14" i="45"/>
  <c r="O14" i="45" s="1"/>
  <c r="P14" i="45" s="1"/>
  <c r="R29" i="45"/>
  <c r="O29" i="45" s="1"/>
  <c r="P29" i="45" s="1"/>
  <c r="R27" i="45"/>
  <c r="O27" i="45" s="1"/>
  <c r="P27" i="45" s="1"/>
  <c r="R24" i="45"/>
  <c r="O24" i="45" s="1"/>
  <c r="P24" i="45" s="1"/>
  <c r="R20" i="45"/>
  <c r="O20" i="45" s="1"/>
  <c r="P20" i="45" s="1"/>
  <c r="R16" i="45"/>
  <c r="O16" i="45" s="1"/>
  <c r="P16" i="45" s="1"/>
  <c r="R12" i="45"/>
  <c r="O12" i="45" s="1"/>
  <c r="R31" i="45"/>
  <c r="O31" i="45" s="1"/>
  <c r="P31" i="45" s="1"/>
  <c r="R28" i="45"/>
  <c r="O28" i="45" s="1"/>
  <c r="P28" i="45" s="1"/>
  <c r="R13" i="45"/>
  <c r="O13" i="45" s="1"/>
  <c r="P13" i="45" s="1"/>
  <c r="W148" i="45"/>
  <c r="Q12" i="45"/>
  <c r="N12" i="45" s="1"/>
  <c r="M32" i="42"/>
  <c r="R26" i="42" s="1"/>
  <c r="O26" i="42" s="1"/>
  <c r="P26" i="42" s="1"/>
  <c r="W148" i="44"/>
  <c r="R25" i="44"/>
  <c r="O25" i="44" s="1"/>
  <c r="P25" i="44" s="1"/>
  <c r="Q12" i="44"/>
  <c r="N12" i="44" s="1"/>
  <c r="Q50" i="41"/>
  <c r="L50" i="41"/>
  <c r="M50" i="41" s="1"/>
  <c r="M32" i="41"/>
  <c r="R27" i="41" s="1"/>
  <c r="O27" i="41" s="1"/>
  <c r="P27" i="41" s="1"/>
  <c r="W148" i="43"/>
  <c r="R18" i="43"/>
  <c r="O18" i="43" s="1"/>
  <c r="P18" i="43" s="1"/>
  <c r="R14" i="43"/>
  <c r="O14" i="43" s="1"/>
  <c r="P14" i="43" s="1"/>
  <c r="R29" i="43"/>
  <c r="O29" i="43" s="1"/>
  <c r="P29" i="43" s="1"/>
  <c r="R26" i="43"/>
  <c r="O26" i="43" s="1"/>
  <c r="P26" i="43" s="1"/>
  <c r="R23" i="43"/>
  <c r="O23" i="43" s="1"/>
  <c r="P23" i="43" s="1"/>
  <c r="R19" i="43"/>
  <c r="O19" i="43" s="1"/>
  <c r="P19" i="43" s="1"/>
  <c r="R15" i="43"/>
  <c r="O15" i="43" s="1"/>
  <c r="P15" i="43" s="1"/>
  <c r="R13" i="43"/>
  <c r="O13" i="43" s="1"/>
  <c r="P13" i="43" s="1"/>
  <c r="R30" i="43"/>
  <c r="O30" i="43" s="1"/>
  <c r="P30" i="43" s="1"/>
  <c r="R27" i="43"/>
  <c r="O27" i="43" s="1"/>
  <c r="P27" i="43" s="1"/>
  <c r="R24" i="43"/>
  <c r="O24" i="43" s="1"/>
  <c r="P24" i="43" s="1"/>
  <c r="R31" i="43"/>
  <c r="O31" i="43" s="1"/>
  <c r="P31" i="43" s="1"/>
  <c r="R28" i="43"/>
  <c r="O28" i="43" s="1"/>
  <c r="P28" i="43" s="1"/>
  <c r="R21" i="43"/>
  <c r="O21" i="43" s="1"/>
  <c r="P21" i="43" s="1"/>
  <c r="R17" i="43"/>
  <c r="O17" i="43" s="1"/>
  <c r="P17" i="43" s="1"/>
  <c r="R20" i="43"/>
  <c r="O20" i="43" s="1"/>
  <c r="P20" i="43" s="1"/>
  <c r="R16" i="43"/>
  <c r="O16" i="43" s="1"/>
  <c r="P16" i="43" s="1"/>
  <c r="R12" i="43"/>
  <c r="O12" i="43" s="1"/>
  <c r="R25" i="43"/>
  <c r="O25" i="43" s="1"/>
  <c r="P25" i="43" s="1"/>
  <c r="Q12" i="43"/>
  <c r="N12" i="43" s="1"/>
  <c r="M35" i="39"/>
  <c r="L50" i="39"/>
  <c r="M50" i="39" s="1"/>
  <c r="R50" i="39"/>
  <c r="Q50" i="39"/>
  <c r="L32" i="39"/>
  <c r="A134" i="39" s="1"/>
  <c r="R23" i="42"/>
  <c r="O23" i="42" s="1"/>
  <c r="P23" i="42" s="1"/>
  <c r="R19" i="42"/>
  <c r="O19" i="42" s="1"/>
  <c r="P19" i="42" s="1"/>
  <c r="W148" i="42"/>
  <c r="L32" i="42"/>
  <c r="W148" i="38"/>
  <c r="L32" i="38"/>
  <c r="Q32" i="38" s="1"/>
  <c r="N32" i="38" s="1"/>
  <c r="M32" i="38"/>
  <c r="R14" i="38" s="1"/>
  <c r="O14" i="38" s="1"/>
  <c r="P14" i="38" s="1"/>
  <c r="M35" i="41"/>
  <c r="Q32" i="41"/>
  <c r="N32" i="41" s="1"/>
  <c r="A134" i="41"/>
  <c r="K134" i="41" s="1"/>
  <c r="R14" i="41"/>
  <c r="O14" i="41" s="1"/>
  <c r="P14" i="41" s="1"/>
  <c r="R23" i="41"/>
  <c r="O23" i="41" s="1"/>
  <c r="P23" i="41" s="1"/>
  <c r="R29" i="41"/>
  <c r="O29" i="41" s="1"/>
  <c r="P29" i="41" s="1"/>
  <c r="R26" i="41"/>
  <c r="O26" i="41" s="1"/>
  <c r="P26" i="41" s="1"/>
  <c r="R19" i="41"/>
  <c r="O19" i="41" s="1"/>
  <c r="P19" i="41" s="1"/>
  <c r="R15" i="41"/>
  <c r="O15" i="41" s="1"/>
  <c r="P15" i="41" s="1"/>
  <c r="R30" i="41"/>
  <c r="O30" i="41" s="1"/>
  <c r="P30" i="41" s="1"/>
  <c r="R24" i="41"/>
  <c r="O24" i="41" s="1"/>
  <c r="R31" i="41"/>
  <c r="O31" i="41" s="1"/>
  <c r="P31" i="41" s="1"/>
  <c r="R28" i="41"/>
  <c r="O28" i="41" s="1"/>
  <c r="P28" i="41" s="1"/>
  <c r="R25" i="41"/>
  <c r="O25" i="41" s="1"/>
  <c r="P25" i="41" s="1"/>
  <c r="R21" i="41"/>
  <c r="O21" i="41" s="1"/>
  <c r="P21" i="41" s="1"/>
  <c r="R17" i="41"/>
  <c r="O17" i="41" s="1"/>
  <c r="P17" i="41" s="1"/>
  <c r="R13" i="41"/>
  <c r="O13" i="41" s="1"/>
  <c r="P13" i="41" s="1"/>
  <c r="P24" i="41"/>
  <c r="Q12" i="41"/>
  <c r="N12" i="41" s="1"/>
  <c r="Q12" i="40"/>
  <c r="N12" i="40" s="1"/>
  <c r="P29" i="40"/>
  <c r="Q32" i="40"/>
  <c r="N32" i="40" s="1"/>
  <c r="A134" i="40"/>
  <c r="R32" i="40"/>
  <c r="O32" i="40" s="1"/>
  <c r="R18" i="40"/>
  <c r="O18" i="40" s="1"/>
  <c r="P18" i="40" s="1"/>
  <c r="R14" i="40"/>
  <c r="O14" i="40" s="1"/>
  <c r="P14" i="40" s="1"/>
  <c r="R29" i="40"/>
  <c r="O29" i="40" s="1"/>
  <c r="R26" i="40"/>
  <c r="O26" i="40" s="1"/>
  <c r="R23" i="40"/>
  <c r="O23" i="40" s="1"/>
  <c r="P23" i="40" s="1"/>
  <c r="R17" i="40"/>
  <c r="O17" i="40" s="1"/>
  <c r="R19" i="40"/>
  <c r="O19" i="40" s="1"/>
  <c r="R15" i="40"/>
  <c r="O15" i="40" s="1"/>
  <c r="P15" i="40" s="1"/>
  <c r="R30" i="40"/>
  <c r="O30" i="40" s="1"/>
  <c r="P30" i="40" s="1"/>
  <c r="R27" i="40"/>
  <c r="O27" i="40" s="1"/>
  <c r="P27" i="40" s="1"/>
  <c r="R24" i="40"/>
  <c r="O24" i="40" s="1"/>
  <c r="P24" i="40" s="1"/>
  <c r="R20" i="40"/>
  <c r="O20" i="40" s="1"/>
  <c r="P20" i="40" s="1"/>
  <c r="R16" i="40"/>
  <c r="O16" i="40" s="1"/>
  <c r="P16" i="40" s="1"/>
  <c r="R12" i="40"/>
  <c r="O12" i="40" s="1"/>
  <c r="P12" i="40" s="1"/>
  <c r="R31" i="40"/>
  <c r="O31" i="40" s="1"/>
  <c r="R28" i="40"/>
  <c r="O28" i="40" s="1"/>
  <c r="P28" i="40" s="1"/>
  <c r="R25" i="40"/>
  <c r="O25" i="40" s="1"/>
  <c r="P25" i="40" s="1"/>
  <c r="R13" i="40"/>
  <c r="O13" i="40" s="1"/>
  <c r="R21" i="40"/>
  <c r="O21" i="40" s="1"/>
  <c r="P21" i="40" s="1"/>
  <c r="P26" i="40"/>
  <c r="P13" i="40"/>
  <c r="P19" i="40"/>
  <c r="W148" i="40"/>
  <c r="P31" i="40"/>
  <c r="P17" i="40"/>
  <c r="L113" i="37"/>
  <c r="L50" i="37"/>
  <c r="M50" i="37" s="1"/>
  <c r="L32" i="37"/>
  <c r="Q32" i="37" s="1"/>
  <c r="N32" i="37" s="1"/>
  <c r="L113" i="35"/>
  <c r="M35" i="35" s="1"/>
  <c r="L50" i="35"/>
  <c r="M50" i="35" s="1"/>
  <c r="Q50" i="35"/>
  <c r="R50" i="35"/>
  <c r="L32" i="35"/>
  <c r="Q32" i="35" s="1"/>
  <c r="N32" i="35" s="1"/>
  <c r="M32" i="35"/>
  <c r="R30" i="35" s="1"/>
  <c r="O30" i="35" s="1"/>
  <c r="P30" i="35" s="1"/>
  <c r="Q12" i="35"/>
  <c r="N12" i="35" s="1"/>
  <c r="R50" i="37"/>
  <c r="Q50" i="37"/>
  <c r="M32" i="37"/>
  <c r="R19" i="37" s="1"/>
  <c r="O19" i="37" s="1"/>
  <c r="P19" i="37" s="1"/>
  <c r="P29" i="39"/>
  <c r="R18" i="39"/>
  <c r="O18" i="39" s="1"/>
  <c r="P18" i="39" s="1"/>
  <c r="R14" i="39"/>
  <c r="O14" i="39" s="1"/>
  <c r="P14" i="39" s="1"/>
  <c r="R29" i="39"/>
  <c r="O29" i="39" s="1"/>
  <c r="R26" i="39"/>
  <c r="O26" i="39" s="1"/>
  <c r="P26" i="39" s="1"/>
  <c r="R23" i="39"/>
  <c r="O23" i="39" s="1"/>
  <c r="P23" i="39" s="1"/>
  <c r="R19" i="39"/>
  <c r="O19" i="39" s="1"/>
  <c r="P19" i="39" s="1"/>
  <c r="R15" i="39"/>
  <c r="O15" i="39" s="1"/>
  <c r="P15" i="39" s="1"/>
  <c r="R30" i="39"/>
  <c r="O30" i="39" s="1"/>
  <c r="P30" i="39" s="1"/>
  <c r="R27" i="39"/>
  <c r="O27" i="39" s="1"/>
  <c r="R24" i="39"/>
  <c r="O24" i="39" s="1"/>
  <c r="P24" i="39" s="1"/>
  <c r="R20" i="39"/>
  <c r="O20" i="39" s="1"/>
  <c r="P20" i="39" s="1"/>
  <c r="R16" i="39"/>
  <c r="O16" i="39" s="1"/>
  <c r="P16" i="39" s="1"/>
  <c r="R12" i="39"/>
  <c r="O12" i="39" s="1"/>
  <c r="R31" i="39"/>
  <c r="O31" i="39" s="1"/>
  <c r="P31" i="39" s="1"/>
  <c r="R28" i="39"/>
  <c r="O28" i="39" s="1"/>
  <c r="P28" i="39" s="1"/>
  <c r="R25" i="39"/>
  <c r="O25" i="39" s="1"/>
  <c r="P25" i="39" s="1"/>
  <c r="R21" i="39"/>
  <c r="O21" i="39" s="1"/>
  <c r="P21" i="39" s="1"/>
  <c r="R17" i="39"/>
  <c r="O17" i="39" s="1"/>
  <c r="P17" i="39" s="1"/>
  <c r="R13" i="39"/>
  <c r="O13" i="39" s="1"/>
  <c r="P13" i="39" s="1"/>
  <c r="P27" i="39"/>
  <c r="W148" i="39"/>
  <c r="Q12" i="39"/>
  <c r="N12" i="39" s="1"/>
  <c r="R18" i="38"/>
  <c r="O18" i="38" s="1"/>
  <c r="P18" i="38" s="1"/>
  <c r="R23" i="38"/>
  <c r="O23" i="38" s="1"/>
  <c r="P23" i="38" s="1"/>
  <c r="R20" i="38"/>
  <c r="O20" i="38" s="1"/>
  <c r="P20" i="38" s="1"/>
  <c r="R19" i="38"/>
  <c r="O19" i="38" s="1"/>
  <c r="P19" i="38" s="1"/>
  <c r="R30" i="38"/>
  <c r="O30" i="38" s="1"/>
  <c r="P30" i="38" s="1"/>
  <c r="R27" i="38"/>
  <c r="O27" i="38" s="1"/>
  <c r="P27" i="38" s="1"/>
  <c r="R21" i="38"/>
  <c r="O21" i="38" s="1"/>
  <c r="P21" i="38" s="1"/>
  <c r="R17" i="38"/>
  <c r="O17" i="38" s="1"/>
  <c r="P17" i="38" s="1"/>
  <c r="Q12" i="38"/>
  <c r="N12" i="38" s="1"/>
  <c r="M35" i="37"/>
  <c r="W148" i="37"/>
  <c r="Q12" i="37"/>
  <c r="N12" i="37" s="1"/>
  <c r="P25" i="36"/>
  <c r="M35" i="36"/>
  <c r="R32" i="36"/>
  <c r="O32" i="36" s="1"/>
  <c r="R18" i="36"/>
  <c r="O18" i="36" s="1"/>
  <c r="P18" i="36" s="1"/>
  <c r="R14" i="36"/>
  <c r="O14" i="36" s="1"/>
  <c r="P14" i="36" s="1"/>
  <c r="R31" i="36"/>
  <c r="O31" i="36" s="1"/>
  <c r="P31" i="36" s="1"/>
  <c r="R29" i="36"/>
  <c r="O29" i="36" s="1"/>
  <c r="P29" i="36" s="1"/>
  <c r="R26" i="36"/>
  <c r="O26" i="36" s="1"/>
  <c r="P26" i="36" s="1"/>
  <c r="R23" i="36"/>
  <c r="O23" i="36" s="1"/>
  <c r="R25" i="36"/>
  <c r="O25" i="36" s="1"/>
  <c r="R28" i="36"/>
  <c r="O28" i="36" s="1"/>
  <c r="P28" i="36" s="1"/>
  <c r="R19" i="36"/>
  <c r="O19" i="36" s="1"/>
  <c r="R15" i="36"/>
  <c r="O15" i="36" s="1"/>
  <c r="P15" i="36" s="1"/>
  <c r="R21" i="36"/>
  <c r="O21" i="36" s="1"/>
  <c r="P21" i="36" s="1"/>
  <c r="R17" i="36"/>
  <c r="O17" i="36" s="1"/>
  <c r="P17" i="36" s="1"/>
  <c r="R13" i="36"/>
  <c r="O13" i="36" s="1"/>
  <c r="P13" i="36" s="1"/>
  <c r="R30" i="36"/>
  <c r="O30" i="36" s="1"/>
  <c r="P30" i="36" s="1"/>
  <c r="R27" i="36"/>
  <c r="O27" i="36" s="1"/>
  <c r="R24" i="36"/>
  <c r="O24" i="36" s="1"/>
  <c r="P24" i="36" s="1"/>
  <c r="R20" i="36"/>
  <c r="O20" i="36" s="1"/>
  <c r="P20" i="36" s="1"/>
  <c r="R16" i="36"/>
  <c r="O16" i="36" s="1"/>
  <c r="R12" i="36"/>
  <c r="O12" i="36" s="1"/>
  <c r="P23" i="36"/>
  <c r="P16" i="36"/>
  <c r="P19" i="36"/>
  <c r="P27" i="36"/>
  <c r="W148" i="36"/>
  <c r="Q32" i="36"/>
  <c r="N32" i="36" s="1"/>
  <c r="A134" i="36"/>
  <c r="Q12" i="36"/>
  <c r="N12" i="36" s="1"/>
  <c r="R23" i="35"/>
  <c r="O23" i="35" s="1"/>
  <c r="P23" i="35" s="1"/>
  <c r="R19" i="35"/>
  <c r="O19" i="35" s="1"/>
  <c r="P19" i="35" s="1"/>
  <c r="R15" i="35"/>
  <c r="O15" i="35" s="1"/>
  <c r="P15" i="35" s="1"/>
  <c r="R20" i="35"/>
  <c r="O20" i="35" s="1"/>
  <c r="P20" i="35" s="1"/>
  <c r="R12" i="35"/>
  <c r="O12" i="35" s="1"/>
  <c r="P12" i="35" s="1"/>
  <c r="R25" i="35"/>
  <c r="O25" i="35" s="1"/>
  <c r="P25" i="35" s="1"/>
  <c r="R21" i="35"/>
  <c r="O21" i="35" s="1"/>
  <c r="P21" i="35" s="1"/>
  <c r="R17" i="35"/>
  <c r="O17" i="35" s="1"/>
  <c r="P17" i="35" s="1"/>
  <c r="R13" i="35"/>
  <c r="O13" i="35" s="1"/>
  <c r="P13" i="35" s="1"/>
  <c r="B134" i="35"/>
  <c r="H148" i="35" s="1"/>
  <c r="G148" i="34"/>
  <c r="F148" i="34"/>
  <c r="B148" i="34"/>
  <c r="K130" i="34"/>
  <c r="J134" i="34" s="1"/>
  <c r="T148" i="34" s="1"/>
  <c r="F125" i="34"/>
  <c r="I134" i="34" s="1"/>
  <c r="V148" i="34" s="1"/>
  <c r="F119" i="34"/>
  <c r="H134" i="34" s="1"/>
  <c r="U148" i="34" s="1"/>
  <c r="F113" i="34"/>
  <c r="G134" i="34" s="1"/>
  <c r="S148" i="34" s="1"/>
  <c r="R112" i="34"/>
  <c r="L112" i="34"/>
  <c r="R111" i="34"/>
  <c r="L111" i="34"/>
  <c r="R110" i="34"/>
  <c r="L110" i="34"/>
  <c r="R109" i="34"/>
  <c r="L109" i="34"/>
  <c r="R108" i="34"/>
  <c r="L108" i="34"/>
  <c r="R107" i="34"/>
  <c r="L107" i="34"/>
  <c r="R106" i="34"/>
  <c r="L106" i="34"/>
  <c r="R105" i="34"/>
  <c r="L105" i="34"/>
  <c r="R104" i="34"/>
  <c r="L104" i="34"/>
  <c r="R103" i="34"/>
  <c r="L103" i="34"/>
  <c r="R102" i="34"/>
  <c r="L102" i="34"/>
  <c r="R101" i="34"/>
  <c r="L101" i="34"/>
  <c r="P97" i="34"/>
  <c r="O97" i="34"/>
  <c r="F97" i="34"/>
  <c r="F134" i="34" s="1"/>
  <c r="K148" i="34" s="1"/>
  <c r="P96" i="34"/>
  <c r="O96" i="34"/>
  <c r="P95" i="34"/>
  <c r="O95" i="34"/>
  <c r="P94" i="34"/>
  <c r="O94" i="34"/>
  <c r="P93" i="34"/>
  <c r="O93" i="34"/>
  <c r="P92" i="34"/>
  <c r="O92" i="34"/>
  <c r="P91" i="34"/>
  <c r="O91" i="34"/>
  <c r="P90" i="34"/>
  <c r="O90" i="34"/>
  <c r="P89" i="34"/>
  <c r="O89" i="34"/>
  <c r="P88" i="34"/>
  <c r="O88" i="34"/>
  <c r="P87" i="34"/>
  <c r="O87" i="34"/>
  <c r="P86" i="34"/>
  <c r="O86" i="34"/>
  <c r="P85" i="34"/>
  <c r="O85" i="34"/>
  <c r="F81" i="34"/>
  <c r="E134" i="34" s="1"/>
  <c r="J148" i="34" s="1"/>
  <c r="R80" i="34"/>
  <c r="Q80" i="34"/>
  <c r="R79" i="34"/>
  <c r="Q79" i="34"/>
  <c r="R78" i="34"/>
  <c r="Q78" i="34"/>
  <c r="R77" i="34"/>
  <c r="Q77" i="34"/>
  <c r="R76" i="34"/>
  <c r="Q76" i="34"/>
  <c r="R75" i="34"/>
  <c r="Q75" i="34"/>
  <c r="R74" i="34"/>
  <c r="Q74" i="34"/>
  <c r="R73" i="34"/>
  <c r="Q73" i="34"/>
  <c r="R72" i="34"/>
  <c r="Q72" i="34"/>
  <c r="R71" i="34"/>
  <c r="Q71" i="34"/>
  <c r="R70" i="34"/>
  <c r="Q70" i="34"/>
  <c r="Q68" i="34"/>
  <c r="L68" i="34"/>
  <c r="F65" i="34"/>
  <c r="D134" i="34" s="1"/>
  <c r="R148" i="34" s="1"/>
  <c r="R64" i="34"/>
  <c r="Q64" i="34"/>
  <c r="R63" i="34"/>
  <c r="Q63" i="34"/>
  <c r="R62" i="34"/>
  <c r="Q62" i="34"/>
  <c r="R61" i="34"/>
  <c r="Q61" i="34"/>
  <c r="R60" i="34"/>
  <c r="Q60" i="34"/>
  <c r="R59" i="34"/>
  <c r="Q59" i="34"/>
  <c r="R58" i="34"/>
  <c r="Q58" i="34"/>
  <c r="R57" i="34"/>
  <c r="Q57" i="34"/>
  <c r="R56" i="34"/>
  <c r="Q56" i="34"/>
  <c r="R55" i="34"/>
  <c r="Q55" i="34"/>
  <c r="R54" i="34"/>
  <c r="Q54" i="34"/>
  <c r="K50" i="34"/>
  <c r="C134" i="34" s="1"/>
  <c r="I148" i="34" s="1"/>
  <c r="R49" i="34"/>
  <c r="Q49" i="34"/>
  <c r="L49" i="34"/>
  <c r="R48" i="34"/>
  <c r="Q48" i="34"/>
  <c r="L48" i="34"/>
  <c r="R47" i="34"/>
  <c r="Q47" i="34"/>
  <c r="L47" i="34"/>
  <c r="R46" i="34"/>
  <c r="Q46" i="34"/>
  <c r="L46" i="34"/>
  <c r="R45" i="34"/>
  <c r="Q45" i="34"/>
  <c r="L45" i="34"/>
  <c r="R44" i="34"/>
  <c r="Q44" i="34"/>
  <c r="L44" i="34"/>
  <c r="R43" i="34"/>
  <c r="Q43" i="34"/>
  <c r="L43" i="34"/>
  <c r="R42" i="34"/>
  <c r="Q42" i="34"/>
  <c r="L42" i="34"/>
  <c r="R41" i="34"/>
  <c r="Q41" i="34"/>
  <c r="L41" i="34"/>
  <c r="R40" i="34"/>
  <c r="Q40" i="34"/>
  <c r="L40" i="34"/>
  <c r="R39" i="34"/>
  <c r="Q39" i="34"/>
  <c r="L39" i="34"/>
  <c r="R38" i="34"/>
  <c r="Q38" i="34"/>
  <c r="L38" i="34"/>
  <c r="R37" i="34"/>
  <c r="Q37" i="34"/>
  <c r="L37" i="34"/>
  <c r="L35" i="34"/>
  <c r="I35" i="34"/>
  <c r="K32" i="34"/>
  <c r="B134" i="34" s="1"/>
  <c r="H148" i="34" s="1"/>
  <c r="J32" i="34"/>
  <c r="Q31" i="34"/>
  <c r="N31" i="34" s="1"/>
  <c r="M31" i="34"/>
  <c r="L31" i="34"/>
  <c r="D31" i="34"/>
  <c r="M30" i="34"/>
  <c r="L30" i="34"/>
  <c r="Q30" i="34" s="1"/>
  <c r="N30" i="34" s="1"/>
  <c r="D30" i="34"/>
  <c r="Q29" i="34"/>
  <c r="N29" i="34" s="1"/>
  <c r="M29" i="34"/>
  <c r="L29" i="34"/>
  <c r="D29" i="34"/>
  <c r="Q28" i="34"/>
  <c r="N28" i="34" s="1"/>
  <c r="M28" i="34"/>
  <c r="L28" i="34"/>
  <c r="D28" i="34"/>
  <c r="M27" i="34"/>
  <c r="L27" i="34"/>
  <c r="Q27" i="34" s="1"/>
  <c r="N27" i="34" s="1"/>
  <c r="D27" i="34"/>
  <c r="Q26" i="34"/>
  <c r="N26" i="34" s="1"/>
  <c r="M26" i="34"/>
  <c r="L26" i="34"/>
  <c r="D26" i="34"/>
  <c r="Q25" i="34"/>
  <c r="N25" i="34" s="1"/>
  <c r="M25" i="34"/>
  <c r="L25" i="34"/>
  <c r="D25" i="34"/>
  <c r="M24" i="34"/>
  <c r="L24" i="34"/>
  <c r="Q24" i="34" s="1"/>
  <c r="N24" i="34" s="1"/>
  <c r="D24" i="34"/>
  <c r="M23" i="34"/>
  <c r="L23" i="34"/>
  <c r="Q23" i="34" s="1"/>
  <c r="N23" i="34" s="1"/>
  <c r="D23" i="34"/>
  <c r="Q21" i="34"/>
  <c r="N21" i="34" s="1"/>
  <c r="M21" i="34"/>
  <c r="L21" i="34"/>
  <c r="F21" i="34"/>
  <c r="D21" i="34"/>
  <c r="M20" i="34"/>
  <c r="L20" i="34"/>
  <c r="Q20" i="34" s="1"/>
  <c r="N20" i="34" s="1"/>
  <c r="F20" i="34"/>
  <c r="D20" i="34"/>
  <c r="Q19" i="34"/>
  <c r="N19" i="34" s="1"/>
  <c r="M19" i="34"/>
  <c r="L19" i="34"/>
  <c r="F19" i="34"/>
  <c r="D19" i="34"/>
  <c r="Q18" i="34"/>
  <c r="N18" i="34"/>
  <c r="M18" i="34"/>
  <c r="L18" i="34"/>
  <c r="F18" i="34"/>
  <c r="D18" i="34"/>
  <c r="Q17" i="34"/>
  <c r="N17" i="34" s="1"/>
  <c r="M17" i="34"/>
  <c r="L17" i="34"/>
  <c r="F17" i="34"/>
  <c r="D17" i="34"/>
  <c r="M16" i="34"/>
  <c r="L16" i="34"/>
  <c r="Q16" i="34" s="1"/>
  <c r="N16" i="34" s="1"/>
  <c r="F16" i="34"/>
  <c r="D16" i="34"/>
  <c r="Q15" i="34"/>
  <c r="N15" i="34" s="1"/>
  <c r="M15" i="34"/>
  <c r="L15" i="34"/>
  <c r="F15" i="34"/>
  <c r="D15" i="34"/>
  <c r="M14" i="34"/>
  <c r="L14" i="34"/>
  <c r="Q14" i="34" s="1"/>
  <c r="N14" i="34" s="1"/>
  <c r="F14" i="34"/>
  <c r="D14" i="34"/>
  <c r="M13" i="34"/>
  <c r="L13" i="34"/>
  <c r="Q13" i="34" s="1"/>
  <c r="N13" i="34" s="1"/>
  <c r="F13" i="34"/>
  <c r="D13" i="34"/>
  <c r="M12" i="34"/>
  <c r="L12" i="34"/>
  <c r="F12" i="34"/>
  <c r="D12" i="34"/>
  <c r="J8" i="34"/>
  <c r="I8" i="34"/>
  <c r="E148" i="34" s="1"/>
  <c r="H8" i="34"/>
  <c r="D148" i="34" s="1"/>
  <c r="D8" i="34"/>
  <c r="C148" i="34" s="1"/>
  <c r="A8" i="34"/>
  <c r="A148" i="34" s="1"/>
  <c r="H5" i="34"/>
  <c r="K140" i="34" s="1"/>
  <c r="G148" i="33"/>
  <c r="F148" i="33"/>
  <c r="D148" i="33"/>
  <c r="B148" i="33"/>
  <c r="D134" i="33"/>
  <c r="R148" i="33" s="1"/>
  <c r="K130" i="33"/>
  <c r="J134" i="33" s="1"/>
  <c r="T148" i="33" s="1"/>
  <c r="F125" i="33"/>
  <c r="I134" i="33" s="1"/>
  <c r="V148" i="33" s="1"/>
  <c r="F119" i="33"/>
  <c r="H134" i="33" s="1"/>
  <c r="U148" i="33" s="1"/>
  <c r="F113" i="33"/>
  <c r="G134" i="33" s="1"/>
  <c r="S148" i="33" s="1"/>
  <c r="R112" i="33"/>
  <c r="L112" i="33"/>
  <c r="R111" i="33"/>
  <c r="L111" i="33"/>
  <c r="R110" i="33"/>
  <c r="L110" i="33"/>
  <c r="R109" i="33"/>
  <c r="L109" i="33"/>
  <c r="R108" i="33"/>
  <c r="L108" i="33"/>
  <c r="R107" i="33"/>
  <c r="L107" i="33"/>
  <c r="R106" i="33"/>
  <c r="L106" i="33"/>
  <c r="R105" i="33"/>
  <c r="L105" i="33"/>
  <c r="R104" i="33"/>
  <c r="L104" i="33"/>
  <c r="R103" i="33"/>
  <c r="L103" i="33"/>
  <c r="R102" i="33"/>
  <c r="L102" i="33"/>
  <c r="R101" i="33"/>
  <c r="L101" i="33"/>
  <c r="P97" i="33"/>
  <c r="O97" i="33"/>
  <c r="F97" i="33"/>
  <c r="F134" i="33" s="1"/>
  <c r="K148" i="33" s="1"/>
  <c r="P96" i="33"/>
  <c r="O96" i="33"/>
  <c r="P95" i="33"/>
  <c r="O95" i="33"/>
  <c r="P94" i="33"/>
  <c r="O94" i="33"/>
  <c r="P93" i="33"/>
  <c r="O93" i="33"/>
  <c r="P92" i="33"/>
  <c r="O92" i="33"/>
  <c r="P91" i="33"/>
  <c r="O91" i="33"/>
  <c r="P90" i="33"/>
  <c r="O90" i="33"/>
  <c r="P89" i="33"/>
  <c r="O89" i="33"/>
  <c r="P88" i="33"/>
  <c r="O88" i="33"/>
  <c r="P87" i="33"/>
  <c r="O87" i="33"/>
  <c r="P86" i="33"/>
  <c r="O86" i="33"/>
  <c r="P85" i="33"/>
  <c r="O85" i="33"/>
  <c r="F81" i="33"/>
  <c r="E134" i="33" s="1"/>
  <c r="J148" i="33" s="1"/>
  <c r="R80" i="33"/>
  <c r="Q80" i="33"/>
  <c r="R79" i="33"/>
  <c r="Q79" i="33"/>
  <c r="R78" i="33"/>
  <c r="Q78" i="33"/>
  <c r="R77" i="33"/>
  <c r="Q77" i="33"/>
  <c r="R76" i="33"/>
  <c r="Q76" i="33"/>
  <c r="R75" i="33"/>
  <c r="Q75" i="33"/>
  <c r="R74" i="33"/>
  <c r="Q74" i="33"/>
  <c r="R73" i="33"/>
  <c r="Q73" i="33"/>
  <c r="R72" i="33"/>
  <c r="Q72" i="33"/>
  <c r="R71" i="33"/>
  <c r="Q71" i="33"/>
  <c r="R70" i="33"/>
  <c r="Q70" i="33"/>
  <c r="Q68" i="33"/>
  <c r="L68" i="33"/>
  <c r="F65" i="33"/>
  <c r="R64" i="33"/>
  <c r="Q64" i="33"/>
  <c r="R63" i="33"/>
  <c r="Q63" i="33"/>
  <c r="R62" i="33"/>
  <c r="Q62" i="33"/>
  <c r="R61" i="33"/>
  <c r="Q61" i="33"/>
  <c r="R60" i="33"/>
  <c r="Q60" i="33"/>
  <c r="R59" i="33"/>
  <c r="Q59" i="33"/>
  <c r="R58" i="33"/>
  <c r="Q58" i="33"/>
  <c r="R57" i="33"/>
  <c r="Q57" i="33"/>
  <c r="R56" i="33"/>
  <c r="Q56" i="33"/>
  <c r="R55" i="33"/>
  <c r="Q55" i="33"/>
  <c r="R54" i="33"/>
  <c r="Q54" i="33"/>
  <c r="K50" i="33"/>
  <c r="C134" i="33" s="1"/>
  <c r="I148" i="33" s="1"/>
  <c r="R49" i="33"/>
  <c r="Q49" i="33"/>
  <c r="L49" i="33"/>
  <c r="R48" i="33"/>
  <c r="Q48" i="33"/>
  <c r="L48" i="33"/>
  <c r="R47" i="33"/>
  <c r="Q47" i="33"/>
  <c r="L47" i="33"/>
  <c r="R46" i="33"/>
  <c r="Q46" i="33"/>
  <c r="L46" i="33"/>
  <c r="R45" i="33"/>
  <c r="Q45" i="33"/>
  <c r="L45" i="33"/>
  <c r="R44" i="33"/>
  <c r="Q44" i="33"/>
  <c r="L44" i="33"/>
  <c r="R43" i="33"/>
  <c r="Q43" i="33"/>
  <c r="L43" i="33"/>
  <c r="R42" i="33"/>
  <c r="Q42" i="33"/>
  <c r="L42" i="33"/>
  <c r="R41" i="33"/>
  <c r="Q41" i="33"/>
  <c r="L41" i="33"/>
  <c r="R40" i="33"/>
  <c r="Q40" i="33"/>
  <c r="L40" i="33"/>
  <c r="R39" i="33"/>
  <c r="Q39" i="33"/>
  <c r="L39" i="33"/>
  <c r="R38" i="33"/>
  <c r="Q38" i="33"/>
  <c r="L38" i="33"/>
  <c r="R37" i="33"/>
  <c r="Q37" i="33"/>
  <c r="L37" i="33"/>
  <c r="L35" i="33"/>
  <c r="I35" i="33"/>
  <c r="K32" i="33"/>
  <c r="B134" i="33" s="1"/>
  <c r="H148" i="33" s="1"/>
  <c r="J32" i="33"/>
  <c r="M31" i="33"/>
  <c r="L31" i="33"/>
  <c r="Q31" i="33" s="1"/>
  <c r="N31" i="33" s="1"/>
  <c r="D31" i="33"/>
  <c r="Q30" i="33"/>
  <c r="N30" i="33" s="1"/>
  <c r="M30" i="33"/>
  <c r="L30" i="33"/>
  <c r="D30" i="33"/>
  <c r="Q29" i="33"/>
  <c r="N29" i="33" s="1"/>
  <c r="M29" i="33"/>
  <c r="L29" i="33"/>
  <c r="D29" i="33"/>
  <c r="M28" i="33"/>
  <c r="L28" i="33"/>
  <c r="Q28" i="33" s="1"/>
  <c r="N28" i="33" s="1"/>
  <c r="D28" i="33"/>
  <c r="Q27" i="33"/>
  <c r="N27" i="33" s="1"/>
  <c r="M27" i="33"/>
  <c r="L27" i="33"/>
  <c r="D27" i="33"/>
  <c r="Q26" i="33"/>
  <c r="N26" i="33" s="1"/>
  <c r="M26" i="33"/>
  <c r="L26" i="33"/>
  <c r="D26" i="33"/>
  <c r="M25" i="33"/>
  <c r="L25" i="33"/>
  <c r="Q25" i="33" s="1"/>
  <c r="N25" i="33" s="1"/>
  <c r="D25" i="33"/>
  <c r="Q24" i="33"/>
  <c r="N24" i="33" s="1"/>
  <c r="M24" i="33"/>
  <c r="L24" i="33"/>
  <c r="D24" i="33"/>
  <c r="M23" i="33"/>
  <c r="L23" i="33"/>
  <c r="Q23" i="33" s="1"/>
  <c r="N23" i="33" s="1"/>
  <c r="D23" i="33"/>
  <c r="M21" i="33"/>
  <c r="L21" i="33"/>
  <c r="Q21" i="33" s="1"/>
  <c r="N21" i="33" s="1"/>
  <c r="F21" i="33"/>
  <c r="D21" i="33"/>
  <c r="M20" i="33"/>
  <c r="L20" i="33"/>
  <c r="Q20" i="33" s="1"/>
  <c r="N20" i="33" s="1"/>
  <c r="F20" i="33"/>
  <c r="D20" i="33"/>
  <c r="Q19" i="33"/>
  <c r="N19" i="33" s="1"/>
  <c r="M19" i="33"/>
  <c r="L19" i="33"/>
  <c r="F19" i="33"/>
  <c r="D19" i="33"/>
  <c r="Q18" i="33"/>
  <c r="N18" i="33" s="1"/>
  <c r="M18" i="33"/>
  <c r="L18" i="33"/>
  <c r="F18" i="33"/>
  <c r="D18" i="33"/>
  <c r="M17" i="33"/>
  <c r="L17" i="33"/>
  <c r="Q17" i="33" s="1"/>
  <c r="N17" i="33" s="1"/>
  <c r="F17" i="33"/>
  <c r="D17" i="33"/>
  <c r="M16" i="33"/>
  <c r="L16" i="33"/>
  <c r="Q16" i="33" s="1"/>
  <c r="N16" i="33" s="1"/>
  <c r="F16" i="33"/>
  <c r="D16" i="33"/>
  <c r="Q15" i="33"/>
  <c r="N15" i="33" s="1"/>
  <c r="M15" i="33"/>
  <c r="L15" i="33"/>
  <c r="F15" i="33"/>
  <c r="D15" i="33"/>
  <c r="M14" i="33"/>
  <c r="L14" i="33"/>
  <c r="Q14" i="33" s="1"/>
  <c r="N14" i="33" s="1"/>
  <c r="F14" i="33"/>
  <c r="D14" i="33"/>
  <c r="M13" i="33"/>
  <c r="L13" i="33"/>
  <c r="Q13" i="33" s="1"/>
  <c r="N13" i="33" s="1"/>
  <c r="F13" i="33"/>
  <c r="D13" i="33"/>
  <c r="M12" i="33"/>
  <c r="L12" i="33"/>
  <c r="F12" i="33"/>
  <c r="D12" i="33"/>
  <c r="J8" i="33"/>
  <c r="I8" i="33"/>
  <c r="E148" i="33" s="1"/>
  <c r="H8" i="33"/>
  <c r="D8" i="33"/>
  <c r="C148" i="33" s="1"/>
  <c r="A8" i="33"/>
  <c r="A148" i="33" s="1"/>
  <c r="H5" i="33"/>
  <c r="K140" i="33" s="1"/>
  <c r="G148" i="32"/>
  <c r="F148" i="32"/>
  <c r="B148" i="32"/>
  <c r="G134" i="32"/>
  <c r="S148" i="32" s="1"/>
  <c r="B134" i="32"/>
  <c r="H148" i="32" s="1"/>
  <c r="K130" i="32"/>
  <c r="J134" i="32" s="1"/>
  <c r="T148" i="32" s="1"/>
  <c r="F125" i="32"/>
  <c r="I134" i="32" s="1"/>
  <c r="V148" i="32" s="1"/>
  <c r="F119" i="32"/>
  <c r="H134" i="32" s="1"/>
  <c r="U148" i="32" s="1"/>
  <c r="F113" i="32"/>
  <c r="R112" i="32"/>
  <c r="L112" i="32"/>
  <c r="R111" i="32"/>
  <c r="L111" i="32"/>
  <c r="R110" i="32"/>
  <c r="L110" i="32"/>
  <c r="R109" i="32"/>
  <c r="L109" i="32"/>
  <c r="R108" i="32"/>
  <c r="L108" i="32"/>
  <c r="R107" i="32"/>
  <c r="L107" i="32"/>
  <c r="R106" i="32"/>
  <c r="L106" i="32"/>
  <c r="R105" i="32"/>
  <c r="L105" i="32"/>
  <c r="R104" i="32"/>
  <c r="L104" i="32"/>
  <c r="L113" i="32" s="1"/>
  <c r="R103" i="32"/>
  <c r="L103" i="32"/>
  <c r="R102" i="32"/>
  <c r="L102" i="32"/>
  <c r="R101" i="32"/>
  <c r="L101" i="32"/>
  <c r="P97" i="32"/>
  <c r="O97" i="32"/>
  <c r="F97" i="32"/>
  <c r="F134" i="32" s="1"/>
  <c r="K148" i="32" s="1"/>
  <c r="P96" i="32"/>
  <c r="O96" i="32"/>
  <c r="P95" i="32"/>
  <c r="O95" i="32"/>
  <c r="P94" i="32"/>
  <c r="O94" i="32"/>
  <c r="P93" i="32"/>
  <c r="O93" i="32"/>
  <c r="P92" i="32"/>
  <c r="O92" i="32"/>
  <c r="P91" i="32"/>
  <c r="O91" i="32"/>
  <c r="P90" i="32"/>
  <c r="O90" i="32"/>
  <c r="P89" i="32"/>
  <c r="O89" i="32"/>
  <c r="P88" i="32"/>
  <c r="O88" i="32"/>
  <c r="P87" i="32"/>
  <c r="O87" i="32"/>
  <c r="P86" i="32"/>
  <c r="O86" i="32"/>
  <c r="P85" i="32"/>
  <c r="O85" i="32"/>
  <c r="F81" i="32"/>
  <c r="E134" i="32" s="1"/>
  <c r="J148" i="32" s="1"/>
  <c r="R80" i="32"/>
  <c r="Q80" i="32"/>
  <c r="R79" i="32"/>
  <c r="Q79" i="32"/>
  <c r="R78" i="32"/>
  <c r="Q78" i="32"/>
  <c r="R77" i="32"/>
  <c r="Q77" i="32"/>
  <c r="R76" i="32"/>
  <c r="Q76" i="32"/>
  <c r="R75" i="32"/>
  <c r="Q75" i="32"/>
  <c r="R74" i="32"/>
  <c r="Q74" i="32"/>
  <c r="R73" i="32"/>
  <c r="Q73" i="32"/>
  <c r="R72" i="32"/>
  <c r="Q72" i="32"/>
  <c r="R71" i="32"/>
  <c r="Q71" i="32"/>
  <c r="R70" i="32"/>
  <c r="Q70" i="32"/>
  <c r="Q68" i="32"/>
  <c r="L68" i="32"/>
  <c r="F65" i="32"/>
  <c r="D134" i="32" s="1"/>
  <c r="R148" i="32" s="1"/>
  <c r="R64" i="32"/>
  <c r="Q64" i="32"/>
  <c r="R63" i="32"/>
  <c r="Q63" i="32"/>
  <c r="R62" i="32"/>
  <c r="Q62" i="32"/>
  <c r="R61" i="32"/>
  <c r="Q61" i="32"/>
  <c r="R60" i="32"/>
  <c r="Q60" i="32"/>
  <c r="R59" i="32"/>
  <c r="Q59" i="32"/>
  <c r="R58" i="32"/>
  <c r="Q58" i="32"/>
  <c r="R57" i="32"/>
  <c r="Q57" i="32"/>
  <c r="R56" i="32"/>
  <c r="Q56" i="32"/>
  <c r="R55" i="32"/>
  <c r="Q55" i="32"/>
  <c r="R54" i="32"/>
  <c r="Q54" i="32"/>
  <c r="K50" i="32"/>
  <c r="C134" i="32" s="1"/>
  <c r="I148" i="32" s="1"/>
  <c r="R49" i="32"/>
  <c r="Q49" i="32"/>
  <c r="L49" i="32"/>
  <c r="R48" i="32"/>
  <c r="Q48" i="32"/>
  <c r="L48" i="32"/>
  <c r="R47" i="32"/>
  <c r="Q47" i="32"/>
  <c r="L47" i="32"/>
  <c r="R46" i="32"/>
  <c r="Q46" i="32"/>
  <c r="L46" i="32"/>
  <c r="R45" i="32"/>
  <c r="Q45" i="32"/>
  <c r="L45" i="32"/>
  <c r="R44" i="32"/>
  <c r="Q44" i="32"/>
  <c r="L44" i="32"/>
  <c r="R43" i="32"/>
  <c r="Q43" i="32"/>
  <c r="L43" i="32"/>
  <c r="R42" i="32"/>
  <c r="Q42" i="32"/>
  <c r="L42" i="32"/>
  <c r="R41" i="32"/>
  <c r="Q41" i="32"/>
  <c r="L41" i="32"/>
  <c r="R40" i="32"/>
  <c r="Q40" i="32"/>
  <c r="L40" i="32"/>
  <c r="R39" i="32"/>
  <c r="Q39" i="32"/>
  <c r="L39" i="32"/>
  <c r="R38" i="32"/>
  <c r="Q38" i="32"/>
  <c r="L38" i="32"/>
  <c r="R37" i="32"/>
  <c r="R50" i="32" s="1"/>
  <c r="Q37" i="32"/>
  <c r="Q50" i="32" s="1"/>
  <c r="L37" i="32"/>
  <c r="L50" i="32" s="1"/>
  <c r="M50" i="32" s="1"/>
  <c r="L35" i="32"/>
  <c r="I35" i="32"/>
  <c r="K32" i="32"/>
  <c r="J32" i="32"/>
  <c r="M31" i="32"/>
  <c r="L31" i="32"/>
  <c r="Q31" i="32" s="1"/>
  <c r="N31" i="32" s="1"/>
  <c r="D31" i="32"/>
  <c r="Q30" i="32"/>
  <c r="N30" i="32" s="1"/>
  <c r="M30" i="32"/>
  <c r="L30" i="32"/>
  <c r="D30" i="32"/>
  <c r="Q29" i="32"/>
  <c r="N29" i="32" s="1"/>
  <c r="M29" i="32"/>
  <c r="L29" i="32"/>
  <c r="D29" i="32"/>
  <c r="M28" i="32"/>
  <c r="L28" i="32"/>
  <c r="Q28" i="32" s="1"/>
  <c r="N28" i="32" s="1"/>
  <c r="D28" i="32"/>
  <c r="Q27" i="32"/>
  <c r="N27" i="32" s="1"/>
  <c r="M27" i="32"/>
  <c r="L27" i="32"/>
  <c r="D27" i="32"/>
  <c r="Q26" i="32"/>
  <c r="N26" i="32" s="1"/>
  <c r="M26" i="32"/>
  <c r="L26" i="32"/>
  <c r="D26" i="32"/>
  <c r="M25" i="32"/>
  <c r="L25" i="32"/>
  <c r="Q25" i="32" s="1"/>
  <c r="N25" i="32" s="1"/>
  <c r="D25" i="32"/>
  <c r="Q24" i="32"/>
  <c r="N24" i="32" s="1"/>
  <c r="M24" i="32"/>
  <c r="L24" i="32"/>
  <c r="D24" i="32"/>
  <c r="Q23" i="32"/>
  <c r="N23" i="32" s="1"/>
  <c r="M23" i="32"/>
  <c r="L23" i="32"/>
  <c r="D23" i="32"/>
  <c r="M21" i="32"/>
  <c r="L21" i="32"/>
  <c r="Q21" i="32" s="1"/>
  <c r="N21" i="32" s="1"/>
  <c r="F21" i="32"/>
  <c r="D21" i="32"/>
  <c r="M20" i="32"/>
  <c r="L20" i="32"/>
  <c r="Q20" i="32" s="1"/>
  <c r="N20" i="32" s="1"/>
  <c r="F20" i="32"/>
  <c r="D20" i="32"/>
  <c r="Q19" i="32"/>
  <c r="N19" i="32" s="1"/>
  <c r="M19" i="32"/>
  <c r="L19" i="32"/>
  <c r="F19" i="32"/>
  <c r="D19" i="32"/>
  <c r="M18" i="32"/>
  <c r="L18" i="32"/>
  <c r="Q18" i="32" s="1"/>
  <c r="N18" i="32" s="1"/>
  <c r="F18" i="32"/>
  <c r="D18" i="32"/>
  <c r="M17" i="32"/>
  <c r="L17" i="32"/>
  <c r="Q17" i="32" s="1"/>
  <c r="N17" i="32" s="1"/>
  <c r="F17" i="32"/>
  <c r="D17" i="32"/>
  <c r="M16" i="32"/>
  <c r="L16" i="32"/>
  <c r="Q16" i="32" s="1"/>
  <c r="N16" i="32" s="1"/>
  <c r="F16" i="32"/>
  <c r="D16" i="32"/>
  <c r="Q15" i="32"/>
  <c r="N15" i="32" s="1"/>
  <c r="M15" i="32"/>
  <c r="L15" i="32"/>
  <c r="F15" i="32"/>
  <c r="D15" i="32"/>
  <c r="M14" i="32"/>
  <c r="L14" i="32"/>
  <c r="Q14" i="32" s="1"/>
  <c r="N14" i="32" s="1"/>
  <c r="F14" i="32"/>
  <c r="D14" i="32"/>
  <c r="M13" i="32"/>
  <c r="L13" i="32"/>
  <c r="Q13" i="32" s="1"/>
  <c r="N13" i="32" s="1"/>
  <c r="F13" i="32"/>
  <c r="D13" i="32"/>
  <c r="M12" i="32"/>
  <c r="M32" i="32" s="1"/>
  <c r="L12" i="32"/>
  <c r="Q12" i="32" s="1"/>
  <c r="N12" i="32" s="1"/>
  <c r="F12" i="32"/>
  <c r="D12" i="32"/>
  <c r="J8" i="32"/>
  <c r="I8" i="32"/>
  <c r="E148" i="32" s="1"/>
  <c r="H8" i="32"/>
  <c r="D148" i="32" s="1"/>
  <c r="D8" i="32"/>
  <c r="C148" i="32" s="1"/>
  <c r="A8" i="32"/>
  <c r="A148" i="32" s="1"/>
  <c r="H5" i="32"/>
  <c r="K140" i="32" s="1"/>
  <c r="G148" i="30"/>
  <c r="F148" i="30"/>
  <c r="B148" i="30"/>
  <c r="H134" i="30"/>
  <c r="U148" i="30" s="1"/>
  <c r="G134" i="30"/>
  <c r="S148" i="30" s="1"/>
  <c r="K130" i="30"/>
  <c r="J134" i="30" s="1"/>
  <c r="T148" i="30" s="1"/>
  <c r="F125" i="30"/>
  <c r="I134" i="30" s="1"/>
  <c r="V148" i="30" s="1"/>
  <c r="F119" i="30"/>
  <c r="F113" i="30"/>
  <c r="R112" i="30"/>
  <c r="L112" i="30"/>
  <c r="R111" i="30"/>
  <c r="L111" i="30"/>
  <c r="R110" i="30"/>
  <c r="L110" i="30"/>
  <c r="R109" i="30"/>
  <c r="L109" i="30"/>
  <c r="R108" i="30"/>
  <c r="L108" i="30"/>
  <c r="R107" i="30"/>
  <c r="L107" i="30"/>
  <c r="R106" i="30"/>
  <c r="L106" i="30"/>
  <c r="R105" i="30"/>
  <c r="L105" i="30"/>
  <c r="R104" i="30"/>
  <c r="L104" i="30"/>
  <c r="R103" i="30"/>
  <c r="L103" i="30"/>
  <c r="R102" i="30"/>
  <c r="L102" i="30"/>
  <c r="R101" i="30"/>
  <c r="L101" i="30"/>
  <c r="L113" i="30" s="1"/>
  <c r="P97" i="30"/>
  <c r="O97" i="30"/>
  <c r="F97" i="30"/>
  <c r="F134" i="30" s="1"/>
  <c r="K148" i="30" s="1"/>
  <c r="P96" i="30"/>
  <c r="O96" i="30"/>
  <c r="P95" i="30"/>
  <c r="O95" i="30"/>
  <c r="P94" i="30"/>
  <c r="O94" i="30"/>
  <c r="P93" i="30"/>
  <c r="O93" i="30"/>
  <c r="P92" i="30"/>
  <c r="O92" i="30"/>
  <c r="P91" i="30"/>
  <c r="O91" i="30"/>
  <c r="P90" i="30"/>
  <c r="O90" i="30"/>
  <c r="P89" i="30"/>
  <c r="O89" i="30"/>
  <c r="P88" i="30"/>
  <c r="O88" i="30"/>
  <c r="P87" i="30"/>
  <c r="O87" i="30"/>
  <c r="P86" i="30"/>
  <c r="O86" i="30"/>
  <c r="P85" i="30"/>
  <c r="O85" i="30"/>
  <c r="F81" i="30"/>
  <c r="E134" i="30" s="1"/>
  <c r="J148" i="30" s="1"/>
  <c r="R80" i="30"/>
  <c r="Q80" i="30"/>
  <c r="R79" i="30"/>
  <c r="Q79" i="30"/>
  <c r="R78" i="30"/>
  <c r="Q78" i="30"/>
  <c r="R77" i="30"/>
  <c r="Q77" i="30"/>
  <c r="R76" i="30"/>
  <c r="Q76" i="30"/>
  <c r="R75" i="30"/>
  <c r="Q75" i="30"/>
  <c r="R74" i="30"/>
  <c r="Q74" i="30"/>
  <c r="R73" i="30"/>
  <c r="Q73" i="30"/>
  <c r="R72" i="30"/>
  <c r="Q72" i="30"/>
  <c r="R71" i="30"/>
  <c r="Q71" i="30"/>
  <c r="R70" i="30"/>
  <c r="Q70" i="30"/>
  <c r="Q68" i="30"/>
  <c r="L68" i="30"/>
  <c r="F65" i="30"/>
  <c r="D134" i="30" s="1"/>
  <c r="R148" i="30" s="1"/>
  <c r="R64" i="30"/>
  <c r="Q64" i="30"/>
  <c r="R63" i="30"/>
  <c r="Q63" i="30"/>
  <c r="R62" i="30"/>
  <c r="Q62" i="30"/>
  <c r="R61" i="30"/>
  <c r="Q61" i="30"/>
  <c r="R60" i="30"/>
  <c r="Q60" i="30"/>
  <c r="R59" i="30"/>
  <c r="Q59" i="30"/>
  <c r="R58" i="30"/>
  <c r="Q58" i="30"/>
  <c r="R57" i="30"/>
  <c r="Q57" i="30"/>
  <c r="R56" i="30"/>
  <c r="Q56" i="30"/>
  <c r="R55" i="30"/>
  <c r="Q55" i="30"/>
  <c r="R54" i="30"/>
  <c r="Q54" i="30"/>
  <c r="K50" i="30"/>
  <c r="C134" i="30" s="1"/>
  <c r="I148" i="30" s="1"/>
  <c r="R49" i="30"/>
  <c r="Q49" i="30"/>
  <c r="L49" i="30"/>
  <c r="R48" i="30"/>
  <c r="Q48" i="30"/>
  <c r="L48" i="30"/>
  <c r="R47" i="30"/>
  <c r="Q47" i="30"/>
  <c r="L47" i="30"/>
  <c r="R46" i="30"/>
  <c r="Q46" i="30"/>
  <c r="L46" i="30"/>
  <c r="R45" i="30"/>
  <c r="Q45" i="30"/>
  <c r="L45" i="30"/>
  <c r="R44" i="30"/>
  <c r="Q44" i="30"/>
  <c r="L44" i="30"/>
  <c r="R43" i="30"/>
  <c r="Q43" i="30"/>
  <c r="L43" i="30"/>
  <c r="R42" i="30"/>
  <c r="Q42" i="30"/>
  <c r="L42" i="30"/>
  <c r="R41" i="30"/>
  <c r="Q41" i="30"/>
  <c r="L41" i="30"/>
  <c r="R40" i="30"/>
  <c r="Q40" i="30"/>
  <c r="L40" i="30"/>
  <c r="L50" i="30" s="1"/>
  <c r="M50" i="30" s="1"/>
  <c r="R39" i="30"/>
  <c r="Q39" i="30"/>
  <c r="L39" i="30"/>
  <c r="R38" i="30"/>
  <c r="Q38" i="30"/>
  <c r="L38" i="30"/>
  <c r="R37" i="30"/>
  <c r="Q37" i="30"/>
  <c r="L37" i="30"/>
  <c r="L35" i="30"/>
  <c r="I35" i="30"/>
  <c r="K32" i="30"/>
  <c r="B134" i="30" s="1"/>
  <c r="H148" i="30" s="1"/>
  <c r="J32" i="30"/>
  <c r="Q31" i="30"/>
  <c r="N31" i="30" s="1"/>
  <c r="M31" i="30"/>
  <c r="L31" i="30"/>
  <c r="D31" i="30"/>
  <c r="M30" i="30"/>
  <c r="L30" i="30"/>
  <c r="Q30" i="30" s="1"/>
  <c r="N30" i="30" s="1"/>
  <c r="D30" i="30"/>
  <c r="M29" i="30"/>
  <c r="L29" i="30"/>
  <c r="Q29" i="30" s="1"/>
  <c r="N29" i="30" s="1"/>
  <c r="D29" i="30"/>
  <c r="Q28" i="30"/>
  <c r="N28" i="30" s="1"/>
  <c r="M28" i="30"/>
  <c r="L28" i="30"/>
  <c r="D28" i="30"/>
  <c r="M27" i="30"/>
  <c r="L27" i="30"/>
  <c r="Q27" i="30" s="1"/>
  <c r="N27" i="30" s="1"/>
  <c r="D27" i="30"/>
  <c r="M26" i="30"/>
  <c r="L26" i="30"/>
  <c r="Q26" i="30" s="1"/>
  <c r="N26" i="30" s="1"/>
  <c r="D26" i="30"/>
  <c r="Q25" i="30"/>
  <c r="N25" i="30" s="1"/>
  <c r="M25" i="30"/>
  <c r="L25" i="30"/>
  <c r="D25" i="30"/>
  <c r="M24" i="30"/>
  <c r="L24" i="30"/>
  <c r="Q24" i="30" s="1"/>
  <c r="N24" i="30" s="1"/>
  <c r="D24" i="30"/>
  <c r="M23" i="30"/>
  <c r="L23" i="30"/>
  <c r="Q23" i="30" s="1"/>
  <c r="N23" i="30" s="1"/>
  <c r="D23" i="30"/>
  <c r="Q21" i="30"/>
  <c r="N21" i="30" s="1"/>
  <c r="M21" i="30"/>
  <c r="L21" i="30"/>
  <c r="F21" i="30"/>
  <c r="D21" i="30"/>
  <c r="M20" i="30"/>
  <c r="L20" i="30"/>
  <c r="Q20" i="30" s="1"/>
  <c r="N20" i="30" s="1"/>
  <c r="F20" i="30"/>
  <c r="D20" i="30"/>
  <c r="M19" i="30"/>
  <c r="L19" i="30"/>
  <c r="Q19" i="30" s="1"/>
  <c r="N19" i="30" s="1"/>
  <c r="F19" i="30"/>
  <c r="D19" i="30"/>
  <c r="Q18" i="30"/>
  <c r="N18" i="30"/>
  <c r="M18" i="30"/>
  <c r="L18" i="30"/>
  <c r="F18" i="30"/>
  <c r="D18" i="30"/>
  <c r="Q17" i="30"/>
  <c r="N17" i="30" s="1"/>
  <c r="M17" i="30"/>
  <c r="L17" i="30"/>
  <c r="F17" i="30"/>
  <c r="D17" i="30"/>
  <c r="M16" i="30"/>
  <c r="L16" i="30"/>
  <c r="Q16" i="30" s="1"/>
  <c r="N16" i="30" s="1"/>
  <c r="F16" i="30"/>
  <c r="D16" i="30"/>
  <c r="M15" i="30"/>
  <c r="L15" i="30"/>
  <c r="Q15" i="30" s="1"/>
  <c r="N15" i="30" s="1"/>
  <c r="F15" i="30"/>
  <c r="D15" i="30"/>
  <c r="M14" i="30"/>
  <c r="L14" i="30"/>
  <c r="Q14" i="30" s="1"/>
  <c r="N14" i="30" s="1"/>
  <c r="F14" i="30"/>
  <c r="D14" i="30"/>
  <c r="M13" i="30"/>
  <c r="L13" i="30"/>
  <c r="Q13" i="30" s="1"/>
  <c r="N13" i="30" s="1"/>
  <c r="F13" i="30"/>
  <c r="D13" i="30"/>
  <c r="M12" i="30"/>
  <c r="L12" i="30"/>
  <c r="F12" i="30"/>
  <c r="D12" i="30"/>
  <c r="J8" i="30"/>
  <c r="I8" i="30"/>
  <c r="E148" i="30" s="1"/>
  <c r="H8" i="30"/>
  <c r="D148" i="30" s="1"/>
  <c r="D8" i="30"/>
  <c r="C148" i="30" s="1"/>
  <c r="A8" i="30"/>
  <c r="A148" i="30" s="1"/>
  <c r="H5" i="30"/>
  <c r="K140" i="30" s="1"/>
  <c r="V148" i="29"/>
  <c r="G148" i="29"/>
  <c r="F148" i="29"/>
  <c r="B148" i="29"/>
  <c r="J134" i="29"/>
  <c r="T148" i="29" s="1"/>
  <c r="I134" i="29"/>
  <c r="F134" i="29"/>
  <c r="K148" i="29" s="1"/>
  <c r="K130" i="29"/>
  <c r="F125" i="29"/>
  <c r="F119" i="29"/>
  <c r="H134" i="29" s="1"/>
  <c r="U148" i="29" s="1"/>
  <c r="F113" i="29"/>
  <c r="G134" i="29" s="1"/>
  <c r="S148" i="29" s="1"/>
  <c r="R112" i="29"/>
  <c r="L112" i="29"/>
  <c r="R111" i="29"/>
  <c r="L111" i="29"/>
  <c r="R110" i="29"/>
  <c r="L110" i="29"/>
  <c r="R109" i="29"/>
  <c r="L109" i="29"/>
  <c r="R108" i="29"/>
  <c r="L108" i="29"/>
  <c r="R107" i="29"/>
  <c r="L107" i="29"/>
  <c r="R106" i="29"/>
  <c r="L106" i="29"/>
  <c r="R105" i="29"/>
  <c r="L105" i="29"/>
  <c r="R104" i="29"/>
  <c r="L104" i="29"/>
  <c r="R103" i="29"/>
  <c r="L103" i="29"/>
  <c r="R102" i="29"/>
  <c r="L102" i="29"/>
  <c r="R101" i="29"/>
  <c r="L101" i="29"/>
  <c r="P97" i="29"/>
  <c r="O97" i="29"/>
  <c r="F97" i="29"/>
  <c r="P96" i="29"/>
  <c r="O96" i="29"/>
  <c r="P95" i="29"/>
  <c r="O95" i="29"/>
  <c r="P94" i="29"/>
  <c r="O94" i="29"/>
  <c r="P93" i="29"/>
  <c r="O93" i="29"/>
  <c r="P92" i="29"/>
  <c r="O92" i="29"/>
  <c r="P91" i="29"/>
  <c r="O91" i="29"/>
  <c r="P90" i="29"/>
  <c r="O90" i="29"/>
  <c r="P89" i="29"/>
  <c r="O89" i="29"/>
  <c r="P88" i="29"/>
  <c r="O88" i="29"/>
  <c r="P87" i="29"/>
  <c r="O87" i="29"/>
  <c r="P86" i="29"/>
  <c r="O86" i="29"/>
  <c r="P85" i="29"/>
  <c r="O85" i="29"/>
  <c r="F81" i="29"/>
  <c r="E134" i="29" s="1"/>
  <c r="J148" i="29" s="1"/>
  <c r="R80" i="29"/>
  <c r="Q80" i="29"/>
  <c r="R79" i="29"/>
  <c r="Q79" i="29"/>
  <c r="R78" i="29"/>
  <c r="Q78" i="29"/>
  <c r="R77" i="29"/>
  <c r="Q77" i="29"/>
  <c r="R76" i="29"/>
  <c r="Q76" i="29"/>
  <c r="R75" i="29"/>
  <c r="Q75" i="29"/>
  <c r="R74" i="29"/>
  <c r="Q74" i="29"/>
  <c r="R73" i="29"/>
  <c r="Q73" i="29"/>
  <c r="R72" i="29"/>
  <c r="Q72" i="29"/>
  <c r="R71" i="29"/>
  <c r="Q71" i="29"/>
  <c r="R70" i="29"/>
  <c r="Q70" i="29"/>
  <c r="Q68" i="29"/>
  <c r="L68" i="29"/>
  <c r="F65" i="29"/>
  <c r="D134" i="29" s="1"/>
  <c r="R148" i="29" s="1"/>
  <c r="R64" i="29"/>
  <c r="Q64" i="29"/>
  <c r="R63" i="29"/>
  <c r="Q63" i="29"/>
  <c r="R62" i="29"/>
  <c r="Q62" i="29"/>
  <c r="R61" i="29"/>
  <c r="Q61" i="29"/>
  <c r="R60" i="29"/>
  <c r="Q60" i="29"/>
  <c r="R59" i="29"/>
  <c r="Q59" i="29"/>
  <c r="R58" i="29"/>
  <c r="Q58" i="29"/>
  <c r="R57" i="29"/>
  <c r="Q57" i="29"/>
  <c r="R56" i="29"/>
  <c r="Q56" i="29"/>
  <c r="R55" i="29"/>
  <c r="Q55" i="29"/>
  <c r="R54" i="29"/>
  <c r="Q54" i="29"/>
  <c r="L50" i="29"/>
  <c r="M50" i="29" s="1"/>
  <c r="K50" i="29"/>
  <c r="C134" i="29" s="1"/>
  <c r="I148" i="29" s="1"/>
  <c r="R49" i="29"/>
  <c r="Q49" i="29"/>
  <c r="L49" i="29"/>
  <c r="R48" i="29"/>
  <c r="Q48" i="29"/>
  <c r="L48" i="29"/>
  <c r="R47" i="29"/>
  <c r="Q47" i="29"/>
  <c r="L47" i="29"/>
  <c r="R46" i="29"/>
  <c r="Q46" i="29"/>
  <c r="L46" i="29"/>
  <c r="R45" i="29"/>
  <c r="Q45" i="29"/>
  <c r="L45" i="29"/>
  <c r="R44" i="29"/>
  <c r="Q44" i="29"/>
  <c r="L44" i="29"/>
  <c r="R43" i="29"/>
  <c r="Q43" i="29"/>
  <c r="L43" i="29"/>
  <c r="R42" i="29"/>
  <c r="Q42" i="29"/>
  <c r="L42" i="29"/>
  <c r="R41" i="29"/>
  <c r="Q41" i="29"/>
  <c r="L41" i="29"/>
  <c r="R40" i="29"/>
  <c r="Q40" i="29"/>
  <c r="L40" i="29"/>
  <c r="R39" i="29"/>
  <c r="Q39" i="29"/>
  <c r="L39" i="29"/>
  <c r="R38" i="29"/>
  <c r="Q38" i="29"/>
  <c r="L38" i="29"/>
  <c r="R37" i="29"/>
  <c r="R50" i="29" s="1"/>
  <c r="Q37" i="29"/>
  <c r="Q50" i="29" s="1"/>
  <c r="L37" i="29"/>
  <c r="L35" i="29"/>
  <c r="I35" i="29"/>
  <c r="K32" i="29"/>
  <c r="B134" i="29" s="1"/>
  <c r="H148" i="29" s="1"/>
  <c r="J32" i="29"/>
  <c r="M31" i="29"/>
  <c r="L31" i="29"/>
  <c r="Q31" i="29" s="1"/>
  <c r="N31" i="29" s="1"/>
  <c r="M30" i="29"/>
  <c r="L30" i="29"/>
  <c r="Q30" i="29" s="1"/>
  <c r="N30" i="29" s="1"/>
  <c r="D30" i="29"/>
  <c r="M29" i="29"/>
  <c r="L29" i="29"/>
  <c r="Q29" i="29" s="1"/>
  <c r="N29" i="29" s="1"/>
  <c r="D29" i="29"/>
  <c r="M28" i="29"/>
  <c r="L28" i="29"/>
  <c r="Q28" i="29" s="1"/>
  <c r="N28" i="29" s="1"/>
  <c r="D28" i="29"/>
  <c r="M27" i="29"/>
  <c r="L27" i="29"/>
  <c r="Q27" i="29" s="1"/>
  <c r="N27" i="29" s="1"/>
  <c r="D27" i="29"/>
  <c r="M26" i="29"/>
  <c r="L26" i="29"/>
  <c r="Q26" i="29" s="1"/>
  <c r="N26" i="29" s="1"/>
  <c r="D26" i="29"/>
  <c r="M25" i="29"/>
  <c r="L25" i="29"/>
  <c r="Q25" i="29" s="1"/>
  <c r="N25" i="29" s="1"/>
  <c r="D25" i="29"/>
  <c r="M24" i="29"/>
  <c r="L24" i="29"/>
  <c r="Q24" i="29" s="1"/>
  <c r="N24" i="29" s="1"/>
  <c r="D24" i="29"/>
  <c r="M23" i="29"/>
  <c r="L23" i="29"/>
  <c r="Q23" i="29" s="1"/>
  <c r="N23" i="29" s="1"/>
  <c r="D23" i="29"/>
  <c r="M21" i="29"/>
  <c r="L21" i="29"/>
  <c r="Q21" i="29" s="1"/>
  <c r="N21" i="29" s="1"/>
  <c r="F21" i="29"/>
  <c r="D21" i="29"/>
  <c r="M20" i="29"/>
  <c r="L20" i="29"/>
  <c r="Q20" i="29" s="1"/>
  <c r="N20" i="29" s="1"/>
  <c r="F20" i="29"/>
  <c r="D20" i="29"/>
  <c r="Q19" i="29"/>
  <c r="N19" i="29" s="1"/>
  <c r="M19" i="29"/>
  <c r="L19" i="29"/>
  <c r="F19" i="29"/>
  <c r="D19" i="29"/>
  <c r="Q18" i="29"/>
  <c r="N18" i="29"/>
  <c r="M18" i="29"/>
  <c r="L18" i="29"/>
  <c r="F18" i="29"/>
  <c r="D18" i="29"/>
  <c r="Q17" i="29"/>
  <c r="N17" i="29"/>
  <c r="M17" i="29"/>
  <c r="L17" i="29"/>
  <c r="F17" i="29"/>
  <c r="D17" i="29"/>
  <c r="M16" i="29"/>
  <c r="L16" i="29"/>
  <c r="Q16" i="29" s="1"/>
  <c r="N16" i="29" s="1"/>
  <c r="F16" i="29"/>
  <c r="D16" i="29"/>
  <c r="M15" i="29"/>
  <c r="L15" i="29"/>
  <c r="Q15" i="29" s="1"/>
  <c r="N15" i="29" s="1"/>
  <c r="F15" i="29"/>
  <c r="D15" i="29"/>
  <c r="M14" i="29"/>
  <c r="L14" i="29"/>
  <c r="Q14" i="29" s="1"/>
  <c r="N14" i="29" s="1"/>
  <c r="F14" i="29"/>
  <c r="D14" i="29"/>
  <c r="M13" i="29"/>
  <c r="L13" i="29"/>
  <c r="Q13" i="29" s="1"/>
  <c r="N13" i="29" s="1"/>
  <c r="F13" i="29"/>
  <c r="D13" i="29"/>
  <c r="M12" i="29"/>
  <c r="L12" i="29"/>
  <c r="F12" i="29"/>
  <c r="D12" i="29"/>
  <c r="J8" i="29"/>
  <c r="I8" i="29"/>
  <c r="E148" i="29" s="1"/>
  <c r="H8" i="29"/>
  <c r="D148" i="29" s="1"/>
  <c r="D8" i="29"/>
  <c r="C148" i="29" s="1"/>
  <c r="A8" i="29"/>
  <c r="A148" i="29" s="1"/>
  <c r="H5" i="29"/>
  <c r="K140" i="29" s="1"/>
  <c r="U10" i="50"/>
  <c r="Q10" i="50"/>
  <c r="T10" i="50"/>
  <c r="P10" i="50"/>
  <c r="O16" i="50"/>
  <c r="O6" i="50"/>
  <c r="O10" i="50"/>
  <c r="N9" i="50"/>
  <c r="Y17" i="50"/>
  <c r="O9" i="50"/>
  <c r="Y16" i="50"/>
  <c r="Y6" i="50"/>
  <c r="O12" i="50"/>
  <c r="Y13" i="50"/>
  <c r="M8" i="50"/>
  <c r="Y19" i="50"/>
  <c r="O11" i="50"/>
  <c r="O8" i="50"/>
  <c r="N11" i="50"/>
  <c r="Y14" i="50"/>
  <c r="M9" i="50"/>
  <c r="Y18" i="50"/>
  <c r="O19" i="50"/>
  <c r="M10" i="50"/>
  <c r="Y20" i="50"/>
  <c r="M11" i="50"/>
  <c r="L113" i="33" l="1"/>
  <c r="AI10" i="50"/>
  <c r="AE10" i="50"/>
  <c r="AE33" i="50" s="1"/>
  <c r="Q31" i="50" s="1"/>
  <c r="AH10" i="50"/>
  <c r="AH33" i="50" s="1"/>
  <c r="T31" i="50" s="1"/>
  <c r="AD10" i="50"/>
  <c r="AD33" i="50" s="1"/>
  <c r="P31" i="50" s="1"/>
  <c r="R24" i="35"/>
  <c r="O24" i="35" s="1"/>
  <c r="P24" i="35" s="1"/>
  <c r="R26" i="35"/>
  <c r="O26" i="35" s="1"/>
  <c r="P26" i="35" s="1"/>
  <c r="R29" i="35"/>
  <c r="O29" i="35" s="1"/>
  <c r="P29" i="35" s="1"/>
  <c r="R28" i="35"/>
  <c r="O28" i="35" s="1"/>
  <c r="P28" i="35" s="1"/>
  <c r="R32" i="43"/>
  <c r="O32" i="43" s="1"/>
  <c r="AC8" i="50"/>
  <c r="AA8" i="50"/>
  <c r="AM20" i="50"/>
  <c r="AM19" i="50"/>
  <c r="AC19" i="50"/>
  <c r="AM18" i="50"/>
  <c r="AM17" i="50"/>
  <c r="Q32" i="43"/>
  <c r="N32" i="43" s="1"/>
  <c r="AM16" i="50"/>
  <c r="AC16" i="50"/>
  <c r="AM14" i="50"/>
  <c r="R32" i="38"/>
  <c r="O32" i="38" s="1"/>
  <c r="P32" i="38" s="1"/>
  <c r="A134" i="38"/>
  <c r="K134" i="38" s="1"/>
  <c r="AM13" i="50"/>
  <c r="AC12" i="50"/>
  <c r="W148" i="35"/>
  <c r="A134" i="35"/>
  <c r="K134" i="35" s="1"/>
  <c r="AB11" i="50"/>
  <c r="AC11" i="50"/>
  <c r="AA11" i="50"/>
  <c r="AC10" i="50"/>
  <c r="AA10" i="50"/>
  <c r="AB9" i="50"/>
  <c r="AC9" i="50"/>
  <c r="AA9" i="50"/>
  <c r="AM6" i="50"/>
  <c r="AC6" i="50"/>
  <c r="AJ24" i="50"/>
  <c r="AJ33" i="50" s="1"/>
  <c r="V31" i="50" s="1"/>
  <c r="AM24" i="50"/>
  <c r="AG33" i="50"/>
  <c r="S31" i="50" s="1"/>
  <c r="AU33" i="50"/>
  <c r="S32" i="50" s="1"/>
  <c r="AF33" i="50"/>
  <c r="R31" i="50" s="1"/>
  <c r="AT33" i="50"/>
  <c r="R32" i="50" s="1"/>
  <c r="AS33" i="50"/>
  <c r="Q32" i="50" s="1"/>
  <c r="AR33" i="50"/>
  <c r="P32" i="50" s="1"/>
  <c r="AQ33" i="50"/>
  <c r="O32" i="50" s="1"/>
  <c r="AP33" i="50"/>
  <c r="N32" i="50" s="1"/>
  <c r="AL33" i="50"/>
  <c r="X31" i="50" s="1"/>
  <c r="AZ33" i="50"/>
  <c r="X32" i="50" s="1"/>
  <c r="AK33" i="50"/>
  <c r="W31" i="50" s="1"/>
  <c r="AY33" i="50"/>
  <c r="W32" i="50" s="1"/>
  <c r="AI33" i="50"/>
  <c r="U31" i="50" s="1"/>
  <c r="AW33" i="50"/>
  <c r="U32" i="50" s="1"/>
  <c r="AO33" i="50"/>
  <c r="M32" i="50" s="1"/>
  <c r="AV33" i="50"/>
  <c r="T32" i="50" s="1"/>
  <c r="AX24" i="50"/>
  <c r="AX33" i="50" s="1"/>
  <c r="V32" i="50" s="1"/>
  <c r="BA24" i="50"/>
  <c r="BA33" i="50" s="1"/>
  <c r="Y32" i="50" s="1"/>
  <c r="L113" i="34"/>
  <c r="M35" i="34" s="1"/>
  <c r="Q50" i="34"/>
  <c r="L50" i="34"/>
  <c r="M50" i="34" s="1"/>
  <c r="R50" i="34"/>
  <c r="L32" i="34"/>
  <c r="Q32" i="34" s="1"/>
  <c r="N32" i="34" s="1"/>
  <c r="Q12" i="34"/>
  <c r="N12" i="34" s="1"/>
  <c r="M32" i="34"/>
  <c r="R26" i="34" s="1"/>
  <c r="O26" i="34" s="1"/>
  <c r="P26" i="34" s="1"/>
  <c r="R24" i="49"/>
  <c r="O24" i="49" s="1"/>
  <c r="P24" i="49" s="1"/>
  <c r="R14" i="49"/>
  <c r="O14" i="49" s="1"/>
  <c r="P14" i="49" s="1"/>
  <c r="R27" i="49"/>
  <c r="O27" i="49" s="1"/>
  <c r="P27" i="49" s="1"/>
  <c r="R12" i="49"/>
  <c r="O12" i="49" s="1"/>
  <c r="P12" i="49" s="1"/>
  <c r="R18" i="49"/>
  <c r="O18" i="49" s="1"/>
  <c r="P18" i="49" s="1"/>
  <c r="R30" i="49"/>
  <c r="O30" i="49" s="1"/>
  <c r="P30" i="49" s="1"/>
  <c r="R15" i="49"/>
  <c r="O15" i="49" s="1"/>
  <c r="P15" i="49" s="1"/>
  <c r="R19" i="49"/>
  <c r="O19" i="49" s="1"/>
  <c r="P19" i="49" s="1"/>
  <c r="R21" i="49"/>
  <c r="O21" i="49" s="1"/>
  <c r="P21" i="49" s="1"/>
  <c r="R23" i="49"/>
  <c r="O23" i="49" s="1"/>
  <c r="P23" i="49" s="1"/>
  <c r="R17" i="49"/>
  <c r="O17" i="49" s="1"/>
  <c r="P17" i="49" s="1"/>
  <c r="R25" i="49"/>
  <c r="O25" i="49" s="1"/>
  <c r="P25" i="49" s="1"/>
  <c r="R26" i="49"/>
  <c r="O26" i="49" s="1"/>
  <c r="P26" i="49" s="1"/>
  <c r="R28" i="49"/>
  <c r="O28" i="49" s="1"/>
  <c r="P28" i="49" s="1"/>
  <c r="R29" i="49"/>
  <c r="O29" i="49" s="1"/>
  <c r="P29" i="49" s="1"/>
  <c r="R16" i="49"/>
  <c r="O16" i="49" s="1"/>
  <c r="P16" i="49" s="1"/>
  <c r="R32" i="49"/>
  <c r="O32" i="49" s="1"/>
  <c r="A134" i="49"/>
  <c r="Q32" i="49"/>
  <c r="N32" i="49" s="1"/>
  <c r="Q32" i="45"/>
  <c r="N32" i="45" s="1"/>
  <c r="R32" i="45"/>
  <c r="O32" i="45" s="1"/>
  <c r="R30" i="45"/>
  <c r="O30" i="45" s="1"/>
  <c r="P30" i="45" s="1"/>
  <c r="R15" i="45"/>
  <c r="O15" i="45" s="1"/>
  <c r="P15" i="45" s="1"/>
  <c r="R17" i="45"/>
  <c r="O17" i="45" s="1"/>
  <c r="P17" i="45" s="1"/>
  <c r="R19" i="45"/>
  <c r="O19" i="45" s="1"/>
  <c r="P19" i="45" s="1"/>
  <c r="R21" i="45"/>
  <c r="O21" i="45" s="1"/>
  <c r="P21" i="45" s="1"/>
  <c r="R23" i="45"/>
  <c r="O23" i="45" s="1"/>
  <c r="P23" i="45" s="1"/>
  <c r="R25" i="45"/>
  <c r="O25" i="45" s="1"/>
  <c r="P25" i="45" s="1"/>
  <c r="R26" i="45"/>
  <c r="O26" i="45" s="1"/>
  <c r="P26" i="45" s="1"/>
  <c r="P12" i="45"/>
  <c r="Q32" i="47"/>
  <c r="N32" i="47" s="1"/>
  <c r="A134" i="47"/>
  <c r="R32" i="47"/>
  <c r="O32" i="47" s="1"/>
  <c r="A134" i="44"/>
  <c r="K134" i="44" s="1"/>
  <c r="R16" i="44"/>
  <c r="O16" i="44" s="1"/>
  <c r="P16" i="44" s="1"/>
  <c r="R20" i="44"/>
  <c r="O20" i="44" s="1"/>
  <c r="P20" i="44" s="1"/>
  <c r="R24" i="44"/>
  <c r="O24" i="44" s="1"/>
  <c r="P24" i="44" s="1"/>
  <c r="R27" i="44"/>
  <c r="O27" i="44" s="1"/>
  <c r="P27" i="44" s="1"/>
  <c r="R30" i="44"/>
  <c r="O30" i="44" s="1"/>
  <c r="P30" i="44" s="1"/>
  <c r="R23" i="44"/>
  <c r="O23" i="44" s="1"/>
  <c r="P23" i="44" s="1"/>
  <c r="R15" i="44"/>
  <c r="O15" i="44" s="1"/>
  <c r="P15" i="44" s="1"/>
  <c r="R26" i="44"/>
  <c r="O26" i="44" s="1"/>
  <c r="P26" i="44" s="1"/>
  <c r="R32" i="44"/>
  <c r="O32" i="44" s="1"/>
  <c r="P32" i="44" s="1"/>
  <c r="R13" i="44"/>
  <c r="O13" i="44" s="1"/>
  <c r="P13" i="44" s="1"/>
  <c r="R21" i="44"/>
  <c r="O21" i="44" s="1"/>
  <c r="P21" i="44" s="1"/>
  <c r="R17" i="44"/>
  <c r="O17" i="44" s="1"/>
  <c r="P17" i="44" s="1"/>
  <c r="R19" i="44"/>
  <c r="O19" i="44" s="1"/>
  <c r="P19" i="44" s="1"/>
  <c r="R28" i="44"/>
  <c r="O28" i="44" s="1"/>
  <c r="P28" i="44" s="1"/>
  <c r="R29" i="44"/>
  <c r="O29" i="44" s="1"/>
  <c r="P29" i="44" s="1"/>
  <c r="R31" i="44"/>
  <c r="O31" i="44" s="1"/>
  <c r="P31" i="44" s="1"/>
  <c r="R14" i="44"/>
  <c r="O14" i="44" s="1"/>
  <c r="P14" i="44" s="1"/>
  <c r="R12" i="44"/>
  <c r="O12" i="44" s="1"/>
  <c r="P12" i="44" s="1"/>
  <c r="P32" i="46"/>
  <c r="R32" i="42"/>
  <c r="O32" i="42" s="1"/>
  <c r="R29" i="42"/>
  <c r="O29" i="42" s="1"/>
  <c r="P29" i="42" s="1"/>
  <c r="R14" i="42"/>
  <c r="O14" i="42" s="1"/>
  <c r="P14" i="42" s="1"/>
  <c r="R13" i="42"/>
  <c r="O13" i="42" s="1"/>
  <c r="P13" i="42" s="1"/>
  <c r="R17" i="42"/>
  <c r="O17" i="42" s="1"/>
  <c r="P17" i="42" s="1"/>
  <c r="R21" i="42"/>
  <c r="O21" i="42" s="1"/>
  <c r="P21" i="42" s="1"/>
  <c r="R28" i="42"/>
  <c r="O28" i="42" s="1"/>
  <c r="P28" i="42" s="1"/>
  <c r="R31" i="42"/>
  <c r="O31" i="42" s="1"/>
  <c r="P31" i="42" s="1"/>
  <c r="R20" i="42"/>
  <c r="O20" i="42" s="1"/>
  <c r="P20" i="42" s="1"/>
  <c r="R27" i="42"/>
  <c r="O27" i="42" s="1"/>
  <c r="P27" i="42" s="1"/>
  <c r="R15" i="42"/>
  <c r="O15" i="42" s="1"/>
  <c r="P15" i="42" s="1"/>
  <c r="R12" i="42"/>
  <c r="O12" i="42" s="1"/>
  <c r="P12" i="42" s="1"/>
  <c r="R18" i="42"/>
  <c r="O18" i="42" s="1"/>
  <c r="P18" i="42" s="1"/>
  <c r="R16" i="42"/>
  <c r="O16" i="42" s="1"/>
  <c r="P16" i="42" s="1"/>
  <c r="R24" i="42"/>
  <c r="O24" i="42" s="1"/>
  <c r="P24" i="42" s="1"/>
  <c r="R30" i="42"/>
  <c r="O30" i="42" s="1"/>
  <c r="P30" i="42" s="1"/>
  <c r="R25" i="42"/>
  <c r="O25" i="42" s="1"/>
  <c r="P25" i="42" s="1"/>
  <c r="R12" i="41"/>
  <c r="O12" i="41" s="1"/>
  <c r="P12" i="41" s="1"/>
  <c r="R18" i="41"/>
  <c r="O18" i="41" s="1"/>
  <c r="P18" i="41" s="1"/>
  <c r="R16" i="41"/>
  <c r="O16" i="41" s="1"/>
  <c r="P16" i="41" s="1"/>
  <c r="R32" i="41"/>
  <c r="O32" i="41" s="1"/>
  <c r="P32" i="41" s="1"/>
  <c r="R20" i="41"/>
  <c r="O20" i="41" s="1"/>
  <c r="P20" i="41" s="1"/>
  <c r="P12" i="43"/>
  <c r="Q32" i="39"/>
  <c r="N32" i="39" s="1"/>
  <c r="R32" i="39"/>
  <c r="O32" i="39" s="1"/>
  <c r="Q32" i="42"/>
  <c r="N32" i="42" s="1"/>
  <c r="A134" i="42"/>
  <c r="R28" i="38"/>
  <c r="O28" i="38" s="1"/>
  <c r="P28" i="38" s="1"/>
  <c r="R24" i="38"/>
  <c r="O24" i="38" s="1"/>
  <c r="P24" i="38" s="1"/>
  <c r="R12" i="38"/>
  <c r="O12" i="38" s="1"/>
  <c r="P12" i="38" s="1"/>
  <c r="R15" i="38"/>
  <c r="O15" i="38" s="1"/>
  <c r="P15" i="38" s="1"/>
  <c r="R13" i="38"/>
  <c r="O13" i="38" s="1"/>
  <c r="P13" i="38" s="1"/>
  <c r="R16" i="38"/>
  <c r="O16" i="38" s="1"/>
  <c r="P16" i="38" s="1"/>
  <c r="R25" i="38"/>
  <c r="O25" i="38" s="1"/>
  <c r="P25" i="38" s="1"/>
  <c r="R26" i="38"/>
  <c r="O26" i="38" s="1"/>
  <c r="P26" i="38" s="1"/>
  <c r="R29" i="38"/>
  <c r="O29" i="38" s="1"/>
  <c r="P29" i="38" s="1"/>
  <c r="R31" i="38"/>
  <c r="O31" i="38" s="1"/>
  <c r="P31" i="38" s="1"/>
  <c r="P32" i="40"/>
  <c r="A134" i="37"/>
  <c r="K134" i="37" s="1"/>
  <c r="R31" i="35"/>
  <c r="O31" i="35" s="1"/>
  <c r="P31" i="35" s="1"/>
  <c r="R32" i="35"/>
  <c r="O32" i="35" s="1"/>
  <c r="P32" i="35" s="1"/>
  <c r="R16" i="35"/>
  <c r="O16" i="35" s="1"/>
  <c r="P16" i="35" s="1"/>
  <c r="R14" i="35"/>
  <c r="O14" i="35" s="1"/>
  <c r="P14" i="35" s="1"/>
  <c r="R27" i="35"/>
  <c r="O27" i="35" s="1"/>
  <c r="P27" i="35" s="1"/>
  <c r="R18" i="35"/>
  <c r="O18" i="35" s="1"/>
  <c r="P18" i="35" s="1"/>
  <c r="R21" i="37"/>
  <c r="O21" i="37" s="1"/>
  <c r="P21" i="37" s="1"/>
  <c r="R27" i="37"/>
  <c r="O27" i="37" s="1"/>
  <c r="P27" i="37" s="1"/>
  <c r="R30" i="37"/>
  <c r="O30" i="37" s="1"/>
  <c r="P30" i="37" s="1"/>
  <c r="R23" i="37"/>
  <c r="O23" i="37" s="1"/>
  <c r="P23" i="37" s="1"/>
  <c r="R25" i="37"/>
  <c r="O25" i="37" s="1"/>
  <c r="P25" i="37" s="1"/>
  <c r="R28" i="37"/>
  <c r="O28" i="37" s="1"/>
  <c r="P28" i="37" s="1"/>
  <c r="R29" i="37"/>
  <c r="O29" i="37" s="1"/>
  <c r="P29" i="37" s="1"/>
  <c r="R26" i="37"/>
  <c r="O26" i="37" s="1"/>
  <c r="P26" i="37" s="1"/>
  <c r="R31" i="37"/>
  <c r="O31" i="37" s="1"/>
  <c r="P31" i="37" s="1"/>
  <c r="R14" i="37"/>
  <c r="O14" i="37" s="1"/>
  <c r="P14" i="37" s="1"/>
  <c r="R12" i="37"/>
  <c r="O12" i="37" s="1"/>
  <c r="P12" i="37" s="1"/>
  <c r="R18" i="37"/>
  <c r="O18" i="37" s="1"/>
  <c r="P18" i="37" s="1"/>
  <c r="R16" i="37"/>
  <c r="O16" i="37" s="1"/>
  <c r="P16" i="37" s="1"/>
  <c r="R32" i="37"/>
  <c r="O32" i="37" s="1"/>
  <c r="P32" i="37" s="1"/>
  <c r="R20" i="37"/>
  <c r="O20" i="37" s="1"/>
  <c r="P20" i="37" s="1"/>
  <c r="R24" i="37"/>
  <c r="O24" i="37" s="1"/>
  <c r="P24" i="37" s="1"/>
  <c r="R13" i="37"/>
  <c r="O13" i="37" s="1"/>
  <c r="P13" i="37" s="1"/>
  <c r="R15" i="37"/>
  <c r="O15" i="37" s="1"/>
  <c r="P15" i="37" s="1"/>
  <c r="R17" i="37"/>
  <c r="O17" i="37" s="1"/>
  <c r="P17" i="37" s="1"/>
  <c r="P12" i="39"/>
  <c r="P32" i="36"/>
  <c r="P12" i="36"/>
  <c r="R50" i="33"/>
  <c r="L50" i="33"/>
  <c r="M50" i="33" s="1"/>
  <c r="Q50" i="33"/>
  <c r="L32" i="33"/>
  <c r="Q32" i="33" s="1"/>
  <c r="N32" i="33" s="1"/>
  <c r="M32" i="33"/>
  <c r="R20" i="33" s="1"/>
  <c r="O20" i="33" s="1"/>
  <c r="P20" i="33" s="1"/>
  <c r="Q50" i="30"/>
  <c r="R50" i="30"/>
  <c r="L32" i="30"/>
  <c r="A134" i="30" s="1"/>
  <c r="K134" i="30" s="1"/>
  <c r="M32" i="30"/>
  <c r="R19" i="30" s="1"/>
  <c r="O19" i="30" s="1"/>
  <c r="P19" i="30" s="1"/>
  <c r="A134" i="34"/>
  <c r="K134" i="34" s="1"/>
  <c r="W148" i="34"/>
  <c r="L113" i="29"/>
  <c r="M35" i="29" s="1"/>
  <c r="L32" i="29"/>
  <c r="Q32" i="29" s="1"/>
  <c r="N32" i="29" s="1"/>
  <c r="M32" i="29"/>
  <c r="R26" i="29" s="1"/>
  <c r="O26" i="29" s="1"/>
  <c r="P26" i="29" s="1"/>
  <c r="W148" i="33"/>
  <c r="M35" i="33"/>
  <c r="Q12" i="33"/>
  <c r="N12" i="33" s="1"/>
  <c r="P17" i="32"/>
  <c r="P31" i="32"/>
  <c r="R29" i="32"/>
  <c r="O29" i="32" s="1"/>
  <c r="R26" i="32"/>
  <c r="O26" i="32" s="1"/>
  <c r="P26" i="32" s="1"/>
  <c r="R23" i="32"/>
  <c r="O23" i="32" s="1"/>
  <c r="P23" i="32" s="1"/>
  <c r="R20" i="32"/>
  <c r="O20" i="32" s="1"/>
  <c r="P20" i="32" s="1"/>
  <c r="R19" i="32"/>
  <c r="O19" i="32" s="1"/>
  <c r="P19" i="32" s="1"/>
  <c r="R30" i="32"/>
  <c r="O30" i="32" s="1"/>
  <c r="P30" i="32" s="1"/>
  <c r="R27" i="32"/>
  <c r="O27" i="32" s="1"/>
  <c r="P27" i="32" s="1"/>
  <c r="R24" i="32"/>
  <c r="O24" i="32" s="1"/>
  <c r="P24" i="32" s="1"/>
  <c r="R16" i="32"/>
  <c r="O16" i="32" s="1"/>
  <c r="R12" i="32"/>
  <c r="O12" i="32" s="1"/>
  <c r="R31" i="32"/>
  <c r="O31" i="32" s="1"/>
  <c r="R28" i="32"/>
  <c r="O28" i="32" s="1"/>
  <c r="P28" i="32" s="1"/>
  <c r="R25" i="32"/>
  <c r="O25" i="32" s="1"/>
  <c r="P25" i="32" s="1"/>
  <c r="R21" i="32"/>
  <c r="O21" i="32" s="1"/>
  <c r="P21" i="32" s="1"/>
  <c r="R17" i="32"/>
  <c r="O17" i="32" s="1"/>
  <c r="R13" i="32"/>
  <c r="O13" i="32" s="1"/>
  <c r="P13" i="32" s="1"/>
  <c r="R18" i="32"/>
  <c r="O18" i="32" s="1"/>
  <c r="P18" i="32" s="1"/>
  <c r="R15" i="32"/>
  <c r="O15" i="32" s="1"/>
  <c r="R14" i="32"/>
  <c r="O14" i="32" s="1"/>
  <c r="P14" i="32" s="1"/>
  <c r="P15" i="32"/>
  <c r="M35" i="32"/>
  <c r="P16" i="32"/>
  <c r="P29" i="32"/>
  <c r="P12" i="32"/>
  <c r="W148" i="32"/>
  <c r="L32" i="32"/>
  <c r="R32" i="32" s="1"/>
  <c r="O32" i="32" s="1"/>
  <c r="R18" i="30"/>
  <c r="O18" i="30" s="1"/>
  <c r="P18" i="30" s="1"/>
  <c r="R14" i="30"/>
  <c r="O14" i="30" s="1"/>
  <c r="P14" i="30" s="1"/>
  <c r="R26" i="30"/>
  <c r="O26" i="30" s="1"/>
  <c r="P26" i="30" s="1"/>
  <c r="R23" i="30"/>
  <c r="O23" i="30" s="1"/>
  <c r="P23" i="30" s="1"/>
  <c r="R27" i="30"/>
  <c r="O27" i="30" s="1"/>
  <c r="P27" i="30" s="1"/>
  <c r="R20" i="30"/>
  <c r="O20" i="30" s="1"/>
  <c r="P20" i="30" s="1"/>
  <c r="R28" i="30"/>
  <c r="O28" i="30" s="1"/>
  <c r="P28" i="30" s="1"/>
  <c r="M35" i="30"/>
  <c r="W148" i="30"/>
  <c r="Q12" i="30"/>
  <c r="N12" i="30" s="1"/>
  <c r="W148" i="29"/>
  <c r="Q12" i="29"/>
  <c r="N12" i="29" s="1"/>
  <c r="G148" i="28"/>
  <c r="F148" i="28"/>
  <c r="B148" i="28"/>
  <c r="J134" i="28"/>
  <c r="T148" i="28" s="1"/>
  <c r="I134" i="28"/>
  <c r="V148" i="28" s="1"/>
  <c r="H134" i="28"/>
  <c r="U148" i="28" s="1"/>
  <c r="F134" i="28"/>
  <c r="K148" i="28" s="1"/>
  <c r="K130" i="28"/>
  <c r="F125" i="28"/>
  <c r="F119" i="28"/>
  <c r="F113" i="28"/>
  <c r="G134" i="28" s="1"/>
  <c r="S148" i="28" s="1"/>
  <c r="R112" i="28"/>
  <c r="L112" i="28"/>
  <c r="R111" i="28"/>
  <c r="L111" i="28"/>
  <c r="R110" i="28"/>
  <c r="L110" i="28"/>
  <c r="R109" i="28"/>
  <c r="L109" i="28"/>
  <c r="R108" i="28"/>
  <c r="L108" i="28"/>
  <c r="R107" i="28"/>
  <c r="L107" i="28"/>
  <c r="R106" i="28"/>
  <c r="L106" i="28"/>
  <c r="R105" i="28"/>
  <c r="L105" i="28"/>
  <c r="R104" i="28"/>
  <c r="L104" i="28"/>
  <c r="R103" i="28"/>
  <c r="L103" i="28"/>
  <c r="R102" i="28"/>
  <c r="L102" i="28"/>
  <c r="R101" i="28"/>
  <c r="L101" i="28"/>
  <c r="P97" i="28"/>
  <c r="O97" i="28"/>
  <c r="F97" i="28"/>
  <c r="P96" i="28"/>
  <c r="O96" i="28"/>
  <c r="P95" i="28"/>
  <c r="O95" i="28"/>
  <c r="P94" i="28"/>
  <c r="O94" i="28"/>
  <c r="P93" i="28"/>
  <c r="O93" i="28"/>
  <c r="P92" i="28"/>
  <c r="O92" i="28"/>
  <c r="P91" i="28"/>
  <c r="O91" i="28"/>
  <c r="P90" i="28"/>
  <c r="O90" i="28"/>
  <c r="P89" i="28"/>
  <c r="O89" i="28"/>
  <c r="P88" i="28"/>
  <c r="O88" i="28"/>
  <c r="P87" i="28"/>
  <c r="O87" i="28"/>
  <c r="P86" i="28"/>
  <c r="O86" i="28"/>
  <c r="P85" i="28"/>
  <c r="O85" i="28"/>
  <c r="F81" i="28"/>
  <c r="E134" i="28" s="1"/>
  <c r="J148" i="28" s="1"/>
  <c r="R80" i="28"/>
  <c r="Q80" i="28"/>
  <c r="R79" i="28"/>
  <c r="Q79" i="28"/>
  <c r="R78" i="28"/>
  <c r="Q78" i="28"/>
  <c r="R77" i="28"/>
  <c r="Q77" i="28"/>
  <c r="R76" i="28"/>
  <c r="Q76" i="28"/>
  <c r="R75" i="28"/>
  <c r="Q75" i="28"/>
  <c r="R74" i="28"/>
  <c r="Q74" i="28"/>
  <c r="R73" i="28"/>
  <c r="Q73" i="28"/>
  <c r="R72" i="28"/>
  <c r="Q72" i="28"/>
  <c r="R71" i="28"/>
  <c r="Q71" i="28"/>
  <c r="R70" i="28"/>
  <c r="Q70" i="28"/>
  <c r="Q68" i="28"/>
  <c r="L68" i="28"/>
  <c r="F65" i="28"/>
  <c r="D134" i="28" s="1"/>
  <c r="R148" i="28" s="1"/>
  <c r="R64" i="28"/>
  <c r="Q64" i="28"/>
  <c r="R63" i="28"/>
  <c r="Q63" i="28"/>
  <c r="R62" i="28"/>
  <c r="Q62" i="28"/>
  <c r="R61" i="28"/>
  <c r="Q61" i="28"/>
  <c r="R60" i="28"/>
  <c r="Q60" i="28"/>
  <c r="R59" i="28"/>
  <c r="Q59" i="28"/>
  <c r="R58" i="28"/>
  <c r="Q58" i="28"/>
  <c r="R57" i="28"/>
  <c r="Q57" i="28"/>
  <c r="R56" i="28"/>
  <c r="Q56" i="28"/>
  <c r="R55" i="28"/>
  <c r="Q55" i="28"/>
  <c r="R54" i="28"/>
  <c r="Q54" i="28"/>
  <c r="K50" i="28"/>
  <c r="C134" i="28" s="1"/>
  <c r="I148" i="28" s="1"/>
  <c r="R49" i="28"/>
  <c r="Q49" i="28"/>
  <c r="L49" i="28"/>
  <c r="R48" i="28"/>
  <c r="Q48" i="28"/>
  <c r="L48" i="28"/>
  <c r="R47" i="28"/>
  <c r="Q47" i="28"/>
  <c r="L47" i="28"/>
  <c r="R46" i="28"/>
  <c r="Q46" i="28"/>
  <c r="L46" i="28"/>
  <c r="R45" i="28"/>
  <c r="Q45" i="28"/>
  <c r="L45" i="28"/>
  <c r="R44" i="28"/>
  <c r="Q44" i="28"/>
  <c r="L44" i="28"/>
  <c r="R43" i="28"/>
  <c r="Q43" i="28"/>
  <c r="L43" i="28"/>
  <c r="R42" i="28"/>
  <c r="Q42" i="28"/>
  <c r="L42" i="28"/>
  <c r="R41" i="28"/>
  <c r="Q41" i="28"/>
  <c r="L41" i="28"/>
  <c r="R40" i="28"/>
  <c r="Q40" i="28"/>
  <c r="L40" i="28"/>
  <c r="R39" i="28"/>
  <c r="Q39" i="28"/>
  <c r="L39" i="28"/>
  <c r="R38" i="28"/>
  <c r="Q38" i="28"/>
  <c r="L38" i="28"/>
  <c r="R37" i="28"/>
  <c r="Q37" i="28"/>
  <c r="L37" i="28"/>
  <c r="L35" i="28"/>
  <c r="I35" i="28"/>
  <c r="K32" i="28"/>
  <c r="B134" i="28" s="1"/>
  <c r="H148" i="28" s="1"/>
  <c r="J32" i="28"/>
  <c r="Q31" i="28"/>
  <c r="N31" i="28" s="1"/>
  <c r="M31" i="28"/>
  <c r="L31" i="28"/>
  <c r="D31" i="28"/>
  <c r="M30" i="28"/>
  <c r="L30" i="28"/>
  <c r="Q30" i="28" s="1"/>
  <c r="N30" i="28" s="1"/>
  <c r="D30" i="28"/>
  <c r="M29" i="28"/>
  <c r="L29" i="28"/>
  <c r="Q29" i="28" s="1"/>
  <c r="N29" i="28" s="1"/>
  <c r="D29" i="28"/>
  <c r="Q28" i="28"/>
  <c r="N28" i="28" s="1"/>
  <c r="M28" i="28"/>
  <c r="L28" i="28"/>
  <c r="D28" i="28"/>
  <c r="M27" i="28"/>
  <c r="L27" i="28"/>
  <c r="Q27" i="28" s="1"/>
  <c r="N27" i="28" s="1"/>
  <c r="D27" i="28"/>
  <c r="M26" i="28"/>
  <c r="L26" i="28"/>
  <c r="Q26" i="28" s="1"/>
  <c r="N26" i="28" s="1"/>
  <c r="D26" i="28"/>
  <c r="Q25" i="28"/>
  <c r="N25" i="28" s="1"/>
  <c r="M25" i="28"/>
  <c r="L25" i="28"/>
  <c r="D25" i="28"/>
  <c r="M24" i="28"/>
  <c r="L24" i="28"/>
  <c r="Q24" i="28" s="1"/>
  <c r="N24" i="28" s="1"/>
  <c r="D24" i="28"/>
  <c r="M23" i="28"/>
  <c r="L23" i="28"/>
  <c r="Q23" i="28" s="1"/>
  <c r="N23" i="28" s="1"/>
  <c r="D23" i="28"/>
  <c r="Q21" i="28"/>
  <c r="N21" i="28" s="1"/>
  <c r="M21" i="28"/>
  <c r="L21" i="28"/>
  <c r="F21" i="28"/>
  <c r="D21" i="28"/>
  <c r="M20" i="28"/>
  <c r="L20" i="28"/>
  <c r="Q20" i="28" s="1"/>
  <c r="N20" i="28" s="1"/>
  <c r="F20" i="28"/>
  <c r="D20" i="28"/>
  <c r="M19" i="28"/>
  <c r="L19" i="28"/>
  <c r="Q19" i="28" s="1"/>
  <c r="N19" i="28" s="1"/>
  <c r="F19" i="28"/>
  <c r="D19" i="28"/>
  <c r="Q18" i="28"/>
  <c r="N18" i="28"/>
  <c r="M18" i="28"/>
  <c r="L18" i="28"/>
  <c r="F18" i="28"/>
  <c r="D18" i="28"/>
  <c r="Q17" i="28"/>
  <c r="N17" i="28"/>
  <c r="M17" i="28"/>
  <c r="L17" i="28"/>
  <c r="F17" i="28"/>
  <c r="D17" i="28"/>
  <c r="M16" i="28"/>
  <c r="L16" i="28"/>
  <c r="Q16" i="28" s="1"/>
  <c r="N16" i="28" s="1"/>
  <c r="F16" i="28"/>
  <c r="D16" i="28"/>
  <c r="M15" i="28"/>
  <c r="L15" i="28"/>
  <c r="Q15" i="28" s="1"/>
  <c r="N15" i="28" s="1"/>
  <c r="F15" i="28"/>
  <c r="D15" i="28"/>
  <c r="Q14" i="28"/>
  <c r="N14" i="28" s="1"/>
  <c r="M14" i="28"/>
  <c r="L14" i="28"/>
  <c r="F14" i="28"/>
  <c r="D14" i="28"/>
  <c r="M13" i="28"/>
  <c r="L13" i="28"/>
  <c r="Q13" i="28" s="1"/>
  <c r="N13" i="28" s="1"/>
  <c r="F13" i="28"/>
  <c r="D13" i="28"/>
  <c r="M12" i="28"/>
  <c r="L12" i="28"/>
  <c r="F12" i="28"/>
  <c r="D12" i="28"/>
  <c r="J8" i="28"/>
  <c r="I8" i="28"/>
  <c r="E148" i="28" s="1"/>
  <c r="H8" i="28"/>
  <c r="D148" i="28" s="1"/>
  <c r="D8" i="28"/>
  <c r="C148" i="28" s="1"/>
  <c r="A8" i="28"/>
  <c r="A148" i="28" s="1"/>
  <c r="H5" i="28"/>
  <c r="K140" i="28" s="1"/>
  <c r="G148" i="27"/>
  <c r="F148" i="27"/>
  <c r="B148" i="27"/>
  <c r="K130" i="27"/>
  <c r="J134" i="27" s="1"/>
  <c r="T148" i="27" s="1"/>
  <c r="F125" i="27"/>
  <c r="I134" i="27" s="1"/>
  <c r="V148" i="27" s="1"/>
  <c r="F119" i="27"/>
  <c r="H134" i="27" s="1"/>
  <c r="U148" i="27" s="1"/>
  <c r="F113" i="27"/>
  <c r="G134" i="27" s="1"/>
  <c r="S148" i="27" s="1"/>
  <c r="R112" i="27"/>
  <c r="L112" i="27"/>
  <c r="R111" i="27"/>
  <c r="L111" i="27"/>
  <c r="R110" i="27"/>
  <c r="L110" i="27"/>
  <c r="R109" i="27"/>
  <c r="L109" i="27"/>
  <c r="R108" i="27"/>
  <c r="L108" i="27"/>
  <c r="R107" i="27"/>
  <c r="L107" i="27"/>
  <c r="R106" i="27"/>
  <c r="L106" i="27"/>
  <c r="R105" i="27"/>
  <c r="L105" i="27"/>
  <c r="R104" i="27"/>
  <c r="L104" i="27"/>
  <c r="R103" i="27"/>
  <c r="L103" i="27"/>
  <c r="R102" i="27"/>
  <c r="L102" i="27"/>
  <c r="R101" i="27"/>
  <c r="L101" i="27"/>
  <c r="P97" i="27"/>
  <c r="O97" i="27"/>
  <c r="F97" i="27"/>
  <c r="F134" i="27" s="1"/>
  <c r="K148" i="27" s="1"/>
  <c r="P96" i="27"/>
  <c r="O96" i="27"/>
  <c r="P95" i="27"/>
  <c r="O95" i="27"/>
  <c r="P94" i="27"/>
  <c r="O94" i="27"/>
  <c r="P93" i="27"/>
  <c r="O93" i="27"/>
  <c r="P92" i="27"/>
  <c r="O92" i="27"/>
  <c r="P91" i="27"/>
  <c r="O91" i="27"/>
  <c r="P90" i="27"/>
  <c r="O90" i="27"/>
  <c r="P89" i="27"/>
  <c r="O89" i="27"/>
  <c r="P88" i="27"/>
  <c r="O88" i="27"/>
  <c r="P87" i="27"/>
  <c r="O87" i="27"/>
  <c r="P86" i="27"/>
  <c r="O86" i="27"/>
  <c r="P85" i="27"/>
  <c r="O85" i="27"/>
  <c r="F81" i="27"/>
  <c r="E134" i="27" s="1"/>
  <c r="J148" i="27" s="1"/>
  <c r="R80" i="27"/>
  <c r="Q80" i="27"/>
  <c r="R79" i="27"/>
  <c r="Q79" i="27"/>
  <c r="R78" i="27"/>
  <c r="Q78" i="27"/>
  <c r="R77" i="27"/>
  <c r="Q77" i="27"/>
  <c r="R76" i="27"/>
  <c r="Q76" i="27"/>
  <c r="R75" i="27"/>
  <c r="Q75" i="27"/>
  <c r="R74" i="27"/>
  <c r="Q74" i="27"/>
  <c r="R73" i="27"/>
  <c r="Q73" i="27"/>
  <c r="R72" i="27"/>
  <c r="Q72" i="27"/>
  <c r="R71" i="27"/>
  <c r="Q71" i="27"/>
  <c r="R70" i="27"/>
  <c r="Q70" i="27"/>
  <c r="Q68" i="27"/>
  <c r="L68" i="27"/>
  <c r="F65" i="27"/>
  <c r="D134" i="27" s="1"/>
  <c r="R148" i="27" s="1"/>
  <c r="R64" i="27"/>
  <c r="Q64" i="27"/>
  <c r="R63" i="27"/>
  <c r="Q63" i="27"/>
  <c r="R62" i="27"/>
  <c r="Q62" i="27"/>
  <c r="R61" i="27"/>
  <c r="Q61" i="27"/>
  <c r="R60" i="27"/>
  <c r="Q60" i="27"/>
  <c r="R59" i="27"/>
  <c r="Q59" i="27"/>
  <c r="R58" i="27"/>
  <c r="Q58" i="27"/>
  <c r="R57" i="27"/>
  <c r="Q57" i="27"/>
  <c r="R56" i="27"/>
  <c r="Q56" i="27"/>
  <c r="R55" i="27"/>
  <c r="Q55" i="27"/>
  <c r="R54" i="27"/>
  <c r="Q54" i="27"/>
  <c r="K50" i="27"/>
  <c r="C134" i="27" s="1"/>
  <c r="I148" i="27" s="1"/>
  <c r="R49" i="27"/>
  <c r="Q49" i="27"/>
  <c r="L49" i="27"/>
  <c r="R48" i="27"/>
  <c r="Q48" i="27"/>
  <c r="L48" i="27"/>
  <c r="R47" i="27"/>
  <c r="Q47" i="27"/>
  <c r="L47" i="27"/>
  <c r="R46" i="27"/>
  <c r="Q46" i="27"/>
  <c r="L46" i="27"/>
  <c r="R45" i="27"/>
  <c r="Q45" i="27"/>
  <c r="L45" i="27"/>
  <c r="R44" i="27"/>
  <c r="Q44" i="27"/>
  <c r="L44" i="27"/>
  <c r="R43" i="27"/>
  <c r="Q43" i="27"/>
  <c r="L43" i="27"/>
  <c r="R42" i="27"/>
  <c r="Q42" i="27"/>
  <c r="L42" i="27"/>
  <c r="R41" i="27"/>
  <c r="Q41" i="27"/>
  <c r="L41" i="27"/>
  <c r="R40" i="27"/>
  <c r="Q40" i="27"/>
  <c r="L40" i="27"/>
  <c r="R39" i="27"/>
  <c r="Q39" i="27"/>
  <c r="L39" i="27"/>
  <c r="R38" i="27"/>
  <c r="Q38" i="27"/>
  <c r="L38" i="27"/>
  <c r="R37" i="27"/>
  <c r="R50" i="27" s="1"/>
  <c r="Q37" i="27"/>
  <c r="Q50" i="27" s="1"/>
  <c r="L37" i="27"/>
  <c r="L50" i="27" s="1"/>
  <c r="M50" i="27" s="1"/>
  <c r="L35" i="27"/>
  <c r="I35" i="27"/>
  <c r="K32" i="27"/>
  <c r="B134" i="27" s="1"/>
  <c r="H148" i="27" s="1"/>
  <c r="J32" i="27"/>
  <c r="Q31" i="27"/>
  <c r="N31" i="27" s="1"/>
  <c r="M31" i="27"/>
  <c r="L31" i="27"/>
  <c r="D31" i="27"/>
  <c r="M30" i="27"/>
  <c r="L30" i="27"/>
  <c r="Q30" i="27" s="1"/>
  <c r="N30" i="27" s="1"/>
  <c r="D30" i="27"/>
  <c r="M29" i="27"/>
  <c r="L29" i="27"/>
  <c r="Q29" i="27" s="1"/>
  <c r="N29" i="27" s="1"/>
  <c r="D29" i="27"/>
  <c r="Q28" i="27"/>
  <c r="N28" i="27" s="1"/>
  <c r="M28" i="27"/>
  <c r="L28" i="27"/>
  <c r="D28" i="27"/>
  <c r="M27" i="27"/>
  <c r="L27" i="27"/>
  <c r="Q27" i="27" s="1"/>
  <c r="N27" i="27" s="1"/>
  <c r="D27" i="27"/>
  <c r="M26" i="27"/>
  <c r="L26" i="27"/>
  <c r="Q26" i="27" s="1"/>
  <c r="N26" i="27" s="1"/>
  <c r="D26" i="27"/>
  <c r="Q25" i="27"/>
  <c r="N25" i="27" s="1"/>
  <c r="M25" i="27"/>
  <c r="L25" i="27"/>
  <c r="D25" i="27"/>
  <c r="M24" i="27"/>
  <c r="L24" i="27"/>
  <c r="Q24" i="27" s="1"/>
  <c r="N24" i="27" s="1"/>
  <c r="D24" i="27"/>
  <c r="M23" i="27"/>
  <c r="L23" i="27"/>
  <c r="Q23" i="27" s="1"/>
  <c r="N23" i="27" s="1"/>
  <c r="D23" i="27"/>
  <c r="Q21" i="27"/>
  <c r="N21" i="27" s="1"/>
  <c r="M21" i="27"/>
  <c r="L21" i="27"/>
  <c r="F21" i="27"/>
  <c r="D21" i="27"/>
  <c r="M20" i="27"/>
  <c r="L20" i="27"/>
  <c r="Q20" i="27" s="1"/>
  <c r="N20" i="27" s="1"/>
  <c r="F20" i="27"/>
  <c r="D20" i="27"/>
  <c r="Q19" i="27"/>
  <c r="N19" i="27" s="1"/>
  <c r="M19" i="27"/>
  <c r="L19" i="27"/>
  <c r="F19" i="27"/>
  <c r="D19" i="27"/>
  <c r="Q18" i="27"/>
  <c r="N18" i="27" s="1"/>
  <c r="M18" i="27"/>
  <c r="L18" i="27"/>
  <c r="F18" i="27"/>
  <c r="D18" i="27"/>
  <c r="Q17" i="27"/>
  <c r="N17" i="27"/>
  <c r="M17" i="27"/>
  <c r="L17" i="27"/>
  <c r="F17" i="27"/>
  <c r="D17" i="27"/>
  <c r="M16" i="27"/>
  <c r="L16" i="27"/>
  <c r="Q16" i="27" s="1"/>
  <c r="N16" i="27" s="1"/>
  <c r="F16" i="27"/>
  <c r="D16" i="27"/>
  <c r="Q15" i="27"/>
  <c r="N15" i="27" s="1"/>
  <c r="M15" i="27"/>
  <c r="L15" i="27"/>
  <c r="F15" i="27"/>
  <c r="D15" i="27"/>
  <c r="M14" i="27"/>
  <c r="L14" i="27"/>
  <c r="Q14" i="27" s="1"/>
  <c r="N14" i="27" s="1"/>
  <c r="F14" i="27"/>
  <c r="D14" i="27"/>
  <c r="M13" i="27"/>
  <c r="L13" i="27"/>
  <c r="Q13" i="27" s="1"/>
  <c r="N13" i="27" s="1"/>
  <c r="F13" i="27"/>
  <c r="D13" i="27"/>
  <c r="M12" i="27"/>
  <c r="L12" i="27"/>
  <c r="F12" i="27"/>
  <c r="D12" i="27"/>
  <c r="J8" i="27"/>
  <c r="I8" i="27"/>
  <c r="E148" i="27" s="1"/>
  <c r="H8" i="27"/>
  <c r="D148" i="27" s="1"/>
  <c r="D8" i="27"/>
  <c r="C148" i="27" s="1"/>
  <c r="A8" i="27"/>
  <c r="A148" i="27" s="1"/>
  <c r="H5" i="27"/>
  <c r="K140" i="27" s="1"/>
  <c r="Y12" i="50"/>
  <c r="Y11" i="50"/>
  <c r="Y8" i="50"/>
  <c r="Y10" i="50"/>
  <c r="Y9" i="50"/>
  <c r="R17" i="29" l="1"/>
  <c r="O17" i="29" s="1"/>
  <c r="P17" i="29" s="1"/>
  <c r="R13" i="29"/>
  <c r="O13" i="29" s="1"/>
  <c r="P13" i="29" s="1"/>
  <c r="R28" i="29"/>
  <c r="O28" i="29" s="1"/>
  <c r="P28" i="29" s="1"/>
  <c r="R15" i="29"/>
  <c r="O15" i="29" s="1"/>
  <c r="P15" i="29" s="1"/>
  <c r="R27" i="29"/>
  <c r="O27" i="29" s="1"/>
  <c r="P27" i="29" s="1"/>
  <c r="R19" i="29"/>
  <c r="O19" i="29" s="1"/>
  <c r="P19" i="29" s="1"/>
  <c r="P32" i="43"/>
  <c r="Q32" i="30"/>
  <c r="N32" i="30" s="1"/>
  <c r="AM8" i="50"/>
  <c r="AM12" i="50"/>
  <c r="AB33" i="50"/>
  <c r="N31" i="50" s="1"/>
  <c r="N33" i="50" s="1"/>
  <c r="AM11" i="50"/>
  <c r="AA33" i="50"/>
  <c r="M31" i="50" s="1"/>
  <c r="M33" i="50" s="1"/>
  <c r="AM10" i="50"/>
  <c r="AM9" i="50"/>
  <c r="W33" i="50"/>
  <c r="R33" i="50"/>
  <c r="U33" i="50"/>
  <c r="Q33" i="50"/>
  <c r="V33" i="50"/>
  <c r="T33" i="50"/>
  <c r="P33" i="50"/>
  <c r="X33" i="50"/>
  <c r="S33" i="50"/>
  <c r="R31" i="34"/>
  <c r="O31" i="34" s="1"/>
  <c r="P31" i="34" s="1"/>
  <c r="R16" i="34"/>
  <c r="O16" i="34" s="1"/>
  <c r="P16" i="34" s="1"/>
  <c r="R20" i="34"/>
  <c r="O20" i="34" s="1"/>
  <c r="P20" i="34" s="1"/>
  <c r="R12" i="34"/>
  <c r="O12" i="34" s="1"/>
  <c r="R24" i="34"/>
  <c r="O24" i="34" s="1"/>
  <c r="P24" i="34" s="1"/>
  <c r="R14" i="34"/>
  <c r="O14" i="34" s="1"/>
  <c r="P14" i="34" s="1"/>
  <c r="R18" i="34"/>
  <c r="O18" i="34" s="1"/>
  <c r="P18" i="34" s="1"/>
  <c r="R28" i="34"/>
  <c r="O28" i="34" s="1"/>
  <c r="P28" i="34" s="1"/>
  <c r="R29" i="34"/>
  <c r="O29" i="34" s="1"/>
  <c r="P29" i="34" s="1"/>
  <c r="R32" i="34"/>
  <c r="O32" i="34" s="1"/>
  <c r="P32" i="34" s="1"/>
  <c r="P12" i="34"/>
  <c r="R30" i="34"/>
  <c r="O30" i="34" s="1"/>
  <c r="P30" i="34" s="1"/>
  <c r="R13" i="34"/>
  <c r="O13" i="34" s="1"/>
  <c r="P13" i="34" s="1"/>
  <c r="R15" i="34"/>
  <c r="O15" i="34" s="1"/>
  <c r="P15" i="34" s="1"/>
  <c r="R21" i="34"/>
  <c r="O21" i="34" s="1"/>
  <c r="P21" i="34" s="1"/>
  <c r="R23" i="34"/>
  <c r="O23" i="34" s="1"/>
  <c r="P23" i="34" s="1"/>
  <c r="R27" i="34"/>
  <c r="O27" i="34" s="1"/>
  <c r="P27" i="34" s="1"/>
  <c r="R17" i="34"/>
  <c r="O17" i="34" s="1"/>
  <c r="P17" i="34" s="1"/>
  <c r="R19" i="34"/>
  <c r="O19" i="34" s="1"/>
  <c r="P19" i="34" s="1"/>
  <c r="R25" i="34"/>
  <c r="O25" i="34" s="1"/>
  <c r="P25" i="34" s="1"/>
  <c r="P32" i="49"/>
  <c r="P32" i="47"/>
  <c r="P32" i="45"/>
  <c r="P32" i="42"/>
  <c r="P32" i="39"/>
  <c r="A134" i="33"/>
  <c r="K134" i="33" s="1"/>
  <c r="R29" i="33"/>
  <c r="O29" i="33" s="1"/>
  <c r="P29" i="33" s="1"/>
  <c r="R26" i="33"/>
  <c r="O26" i="33" s="1"/>
  <c r="P26" i="33" s="1"/>
  <c r="R24" i="33"/>
  <c r="O24" i="33" s="1"/>
  <c r="P24" i="33" s="1"/>
  <c r="R18" i="33"/>
  <c r="O18" i="33" s="1"/>
  <c r="P18" i="33" s="1"/>
  <c r="R27" i="33"/>
  <c r="O27" i="33" s="1"/>
  <c r="P27" i="33" s="1"/>
  <c r="R13" i="33"/>
  <c r="O13" i="33" s="1"/>
  <c r="P13" i="33" s="1"/>
  <c r="R30" i="33"/>
  <c r="O30" i="33" s="1"/>
  <c r="P30" i="33" s="1"/>
  <c r="R14" i="33"/>
  <c r="O14" i="33" s="1"/>
  <c r="P14" i="33" s="1"/>
  <c r="R17" i="33"/>
  <c r="O17" i="33" s="1"/>
  <c r="P17" i="33" s="1"/>
  <c r="R15" i="33"/>
  <c r="O15" i="33" s="1"/>
  <c r="P15" i="33" s="1"/>
  <c r="R21" i="33"/>
  <c r="O21" i="33" s="1"/>
  <c r="P21" i="33" s="1"/>
  <c r="R19" i="33"/>
  <c r="O19" i="33" s="1"/>
  <c r="P19" i="33" s="1"/>
  <c r="R25" i="33"/>
  <c r="O25" i="33" s="1"/>
  <c r="P25" i="33" s="1"/>
  <c r="R28" i="33"/>
  <c r="O28" i="33" s="1"/>
  <c r="P28" i="33" s="1"/>
  <c r="R31" i="33"/>
  <c r="O31" i="33" s="1"/>
  <c r="P31" i="33" s="1"/>
  <c r="R12" i="33"/>
  <c r="O12" i="33" s="1"/>
  <c r="P12" i="33" s="1"/>
  <c r="R23" i="33"/>
  <c r="O23" i="33" s="1"/>
  <c r="P23" i="33" s="1"/>
  <c r="R16" i="33"/>
  <c r="O16" i="33" s="1"/>
  <c r="P16" i="33" s="1"/>
  <c r="R32" i="33"/>
  <c r="O32" i="33" s="1"/>
  <c r="P32" i="33" s="1"/>
  <c r="R29" i="30"/>
  <c r="O29" i="30" s="1"/>
  <c r="P29" i="30" s="1"/>
  <c r="R32" i="30"/>
  <c r="O32" i="30" s="1"/>
  <c r="P32" i="30" s="1"/>
  <c r="R13" i="30"/>
  <c r="O13" i="30" s="1"/>
  <c r="P13" i="30" s="1"/>
  <c r="R12" i="30"/>
  <c r="O12" i="30" s="1"/>
  <c r="P12" i="30" s="1"/>
  <c r="R16" i="30"/>
  <c r="O16" i="30" s="1"/>
  <c r="P16" i="30" s="1"/>
  <c r="R24" i="30"/>
  <c r="O24" i="30" s="1"/>
  <c r="P24" i="30" s="1"/>
  <c r="R30" i="30"/>
  <c r="O30" i="30" s="1"/>
  <c r="P30" i="30" s="1"/>
  <c r="R25" i="30"/>
  <c r="O25" i="30" s="1"/>
  <c r="P25" i="30" s="1"/>
  <c r="R31" i="30"/>
  <c r="O31" i="30" s="1"/>
  <c r="P31" i="30" s="1"/>
  <c r="R17" i="30"/>
  <c r="O17" i="30" s="1"/>
  <c r="P17" i="30" s="1"/>
  <c r="R15" i="30"/>
  <c r="O15" i="30" s="1"/>
  <c r="P15" i="30" s="1"/>
  <c r="R21" i="30"/>
  <c r="O21" i="30" s="1"/>
  <c r="P21" i="30" s="1"/>
  <c r="A134" i="29"/>
  <c r="K134" i="29" s="1"/>
  <c r="R29" i="29"/>
  <c r="O29" i="29" s="1"/>
  <c r="P29" i="29" s="1"/>
  <c r="R14" i="29"/>
  <c r="O14" i="29" s="1"/>
  <c r="P14" i="29" s="1"/>
  <c r="R32" i="29"/>
  <c r="O32" i="29" s="1"/>
  <c r="P32" i="29" s="1"/>
  <c r="R12" i="29"/>
  <c r="O12" i="29" s="1"/>
  <c r="P12" i="29" s="1"/>
  <c r="R31" i="29"/>
  <c r="O31" i="29" s="1"/>
  <c r="P31" i="29" s="1"/>
  <c r="R16" i="29"/>
  <c r="O16" i="29" s="1"/>
  <c r="P16" i="29" s="1"/>
  <c r="R20" i="29"/>
  <c r="O20" i="29" s="1"/>
  <c r="P20" i="29" s="1"/>
  <c r="R24" i="29"/>
  <c r="O24" i="29" s="1"/>
  <c r="P24" i="29" s="1"/>
  <c r="R18" i="29"/>
  <c r="O18" i="29" s="1"/>
  <c r="P18" i="29" s="1"/>
  <c r="R30" i="29"/>
  <c r="O30" i="29" s="1"/>
  <c r="P30" i="29" s="1"/>
  <c r="R21" i="29"/>
  <c r="O21" i="29" s="1"/>
  <c r="P21" i="29" s="1"/>
  <c r="R23" i="29"/>
  <c r="O23" i="29" s="1"/>
  <c r="P23" i="29" s="1"/>
  <c r="R25" i="29"/>
  <c r="O25" i="29" s="1"/>
  <c r="P25" i="29" s="1"/>
  <c r="Q32" i="32"/>
  <c r="N32" i="32" s="1"/>
  <c r="P32" i="32" s="1"/>
  <c r="A134" i="32"/>
  <c r="L113" i="28"/>
  <c r="M35" i="28" s="1"/>
  <c r="R50" i="28"/>
  <c r="L50" i="28"/>
  <c r="M50" i="28" s="1"/>
  <c r="Q50" i="28"/>
  <c r="L32" i="28"/>
  <c r="M32" i="28"/>
  <c r="R28" i="28" s="1"/>
  <c r="O28" i="28" s="1"/>
  <c r="P28" i="28" s="1"/>
  <c r="L113" i="27"/>
  <c r="M35" i="27" s="1"/>
  <c r="L32" i="27"/>
  <c r="Q32" i="27" s="1"/>
  <c r="N32" i="27" s="1"/>
  <c r="M32" i="27"/>
  <c r="R19" i="27" s="1"/>
  <c r="O19" i="27" s="1"/>
  <c r="P19" i="27" s="1"/>
  <c r="Q32" i="28"/>
  <c r="N32" i="28" s="1"/>
  <c r="A134" i="28"/>
  <c r="W148" i="28"/>
  <c r="R13" i="28"/>
  <c r="O13" i="28" s="1"/>
  <c r="P13" i="28" s="1"/>
  <c r="R19" i="28"/>
  <c r="O19" i="28" s="1"/>
  <c r="P19" i="28" s="1"/>
  <c r="R15" i="28"/>
  <c r="O15" i="28" s="1"/>
  <c r="P15" i="28" s="1"/>
  <c r="R31" i="28"/>
  <c r="O31" i="28" s="1"/>
  <c r="P31" i="28" s="1"/>
  <c r="R25" i="28"/>
  <c r="O25" i="28" s="1"/>
  <c r="P25" i="28" s="1"/>
  <c r="R17" i="28"/>
  <c r="O17" i="28" s="1"/>
  <c r="P17" i="28" s="1"/>
  <c r="Q12" i="28"/>
  <c r="N12" i="28" s="1"/>
  <c r="W148" i="27"/>
  <c r="R29" i="27"/>
  <c r="O29" i="27" s="1"/>
  <c r="P29" i="27" s="1"/>
  <c r="R26" i="27"/>
  <c r="O26" i="27" s="1"/>
  <c r="P26" i="27" s="1"/>
  <c r="Q12" i="27"/>
  <c r="N12" i="27" s="1"/>
  <c r="G148" i="26"/>
  <c r="F148" i="26"/>
  <c r="B148" i="26"/>
  <c r="I134" i="26"/>
  <c r="V148" i="26" s="1"/>
  <c r="H134" i="26"/>
  <c r="U148" i="26" s="1"/>
  <c r="K130" i="26"/>
  <c r="J134" i="26" s="1"/>
  <c r="T148" i="26" s="1"/>
  <c r="F125" i="26"/>
  <c r="F119" i="26"/>
  <c r="F113" i="26"/>
  <c r="G134" i="26" s="1"/>
  <c r="S148" i="26" s="1"/>
  <c r="R112" i="26"/>
  <c r="L112" i="26"/>
  <c r="R111" i="26"/>
  <c r="L111" i="26"/>
  <c r="R110" i="26"/>
  <c r="L110" i="26"/>
  <c r="R109" i="26"/>
  <c r="L109" i="26"/>
  <c r="R108" i="26"/>
  <c r="L108" i="26"/>
  <c r="R107" i="26"/>
  <c r="L107" i="26"/>
  <c r="R106" i="26"/>
  <c r="L106" i="26"/>
  <c r="R105" i="26"/>
  <c r="L105" i="26"/>
  <c r="R104" i="26"/>
  <c r="L104" i="26"/>
  <c r="R103" i="26"/>
  <c r="L103" i="26"/>
  <c r="R102" i="26"/>
  <c r="L102" i="26"/>
  <c r="R101" i="26"/>
  <c r="L101" i="26"/>
  <c r="L113" i="26" s="1"/>
  <c r="P97" i="26"/>
  <c r="O97" i="26"/>
  <c r="F97" i="26"/>
  <c r="F134" i="26" s="1"/>
  <c r="K148" i="26" s="1"/>
  <c r="P96" i="26"/>
  <c r="O96" i="26"/>
  <c r="P95" i="26"/>
  <c r="O95" i="26"/>
  <c r="P94" i="26"/>
  <c r="O94" i="26"/>
  <c r="P93" i="26"/>
  <c r="O93" i="26"/>
  <c r="P92" i="26"/>
  <c r="O92" i="26"/>
  <c r="P91" i="26"/>
  <c r="O91" i="26"/>
  <c r="P90" i="26"/>
  <c r="O90" i="26"/>
  <c r="P89" i="26"/>
  <c r="O89" i="26"/>
  <c r="P88" i="26"/>
  <c r="O88" i="26"/>
  <c r="P87" i="26"/>
  <c r="O87" i="26"/>
  <c r="P86" i="26"/>
  <c r="O86" i="26"/>
  <c r="P85" i="26"/>
  <c r="O85" i="26"/>
  <c r="F81" i="26"/>
  <c r="E134" i="26" s="1"/>
  <c r="J148" i="26" s="1"/>
  <c r="R80" i="26"/>
  <c r="Q80" i="26"/>
  <c r="R79" i="26"/>
  <c r="Q79" i="26"/>
  <c r="R78" i="26"/>
  <c r="Q78" i="26"/>
  <c r="R77" i="26"/>
  <c r="Q77" i="26"/>
  <c r="R76" i="26"/>
  <c r="Q76" i="26"/>
  <c r="R75" i="26"/>
  <c r="Q75" i="26"/>
  <c r="R74" i="26"/>
  <c r="Q74" i="26"/>
  <c r="R73" i="26"/>
  <c r="Q73" i="26"/>
  <c r="R72" i="26"/>
  <c r="Q72" i="26"/>
  <c r="R71" i="26"/>
  <c r="Q71" i="26"/>
  <c r="R70" i="26"/>
  <c r="Q70" i="26"/>
  <c r="Q68" i="26"/>
  <c r="L68" i="26"/>
  <c r="F65" i="26"/>
  <c r="D134" i="26" s="1"/>
  <c r="R148" i="26" s="1"/>
  <c r="R64" i="26"/>
  <c r="Q64" i="26"/>
  <c r="R63" i="26"/>
  <c r="Q63" i="26"/>
  <c r="R62" i="26"/>
  <c r="Q62" i="26"/>
  <c r="R61" i="26"/>
  <c r="Q61" i="26"/>
  <c r="R60" i="26"/>
  <c r="Q60" i="26"/>
  <c r="R59" i="26"/>
  <c r="Q59" i="26"/>
  <c r="R58" i="26"/>
  <c r="Q58" i="26"/>
  <c r="R57" i="26"/>
  <c r="Q57" i="26"/>
  <c r="R56" i="26"/>
  <c r="Q56" i="26"/>
  <c r="R55" i="26"/>
  <c r="Q55" i="26"/>
  <c r="R54" i="26"/>
  <c r="Q54" i="26"/>
  <c r="K50" i="26"/>
  <c r="C134" i="26" s="1"/>
  <c r="I148" i="26" s="1"/>
  <c r="R49" i="26"/>
  <c r="Q49" i="26"/>
  <c r="L49" i="26"/>
  <c r="R48" i="26"/>
  <c r="Q48" i="26"/>
  <c r="L48" i="26"/>
  <c r="R47" i="26"/>
  <c r="Q47" i="26"/>
  <c r="L47" i="26"/>
  <c r="R46" i="26"/>
  <c r="Q46" i="26"/>
  <c r="L46" i="26"/>
  <c r="R45" i="26"/>
  <c r="Q45" i="26"/>
  <c r="L45" i="26"/>
  <c r="R44" i="26"/>
  <c r="Q44" i="26"/>
  <c r="L44" i="26"/>
  <c r="R43" i="26"/>
  <c r="Q43" i="26"/>
  <c r="L43" i="26"/>
  <c r="R42" i="26"/>
  <c r="Q42" i="26"/>
  <c r="L42" i="26"/>
  <c r="R41" i="26"/>
  <c r="Q41" i="26"/>
  <c r="L41" i="26"/>
  <c r="R40" i="26"/>
  <c r="Q40" i="26"/>
  <c r="L40" i="26"/>
  <c r="R39" i="26"/>
  <c r="Q39" i="26"/>
  <c r="L39" i="26"/>
  <c r="R38" i="26"/>
  <c r="Q38" i="26"/>
  <c r="L38" i="26"/>
  <c r="R37" i="26"/>
  <c r="R50" i="26" s="1"/>
  <c r="Q37" i="26"/>
  <c r="Q50" i="26" s="1"/>
  <c r="L37" i="26"/>
  <c r="L35" i="26"/>
  <c r="I35" i="26"/>
  <c r="K32" i="26"/>
  <c r="B134" i="26" s="1"/>
  <c r="J32" i="26"/>
  <c r="Q31" i="26"/>
  <c r="N31" i="26"/>
  <c r="M31" i="26"/>
  <c r="L31" i="26"/>
  <c r="D31" i="26"/>
  <c r="M30" i="26"/>
  <c r="L30" i="26"/>
  <c r="Q30" i="26" s="1"/>
  <c r="N30" i="26" s="1"/>
  <c r="D30" i="26"/>
  <c r="M29" i="26"/>
  <c r="L29" i="26"/>
  <c r="Q29" i="26" s="1"/>
  <c r="N29" i="26" s="1"/>
  <c r="D29" i="26"/>
  <c r="Q28" i="26"/>
  <c r="N28" i="26"/>
  <c r="M28" i="26"/>
  <c r="L28" i="26"/>
  <c r="D28" i="26"/>
  <c r="M27" i="26"/>
  <c r="L27" i="26"/>
  <c r="Q27" i="26" s="1"/>
  <c r="N27" i="26" s="1"/>
  <c r="D27" i="26"/>
  <c r="M26" i="26"/>
  <c r="L26" i="26"/>
  <c r="Q26" i="26" s="1"/>
  <c r="N26" i="26" s="1"/>
  <c r="D26" i="26"/>
  <c r="Q25" i="26"/>
  <c r="N25" i="26"/>
  <c r="M25" i="26"/>
  <c r="L25" i="26"/>
  <c r="D25" i="26"/>
  <c r="M24" i="26"/>
  <c r="L24" i="26"/>
  <c r="Q24" i="26" s="1"/>
  <c r="N24" i="26" s="1"/>
  <c r="D24" i="26"/>
  <c r="M23" i="26"/>
  <c r="L23" i="26"/>
  <c r="Q23" i="26" s="1"/>
  <c r="N23" i="26" s="1"/>
  <c r="D23" i="26"/>
  <c r="Q21" i="26"/>
  <c r="N21" i="26"/>
  <c r="M21" i="26"/>
  <c r="L21" i="26"/>
  <c r="F21" i="26"/>
  <c r="D21" i="26"/>
  <c r="M20" i="26"/>
  <c r="L20" i="26"/>
  <c r="Q20" i="26" s="1"/>
  <c r="N20" i="26" s="1"/>
  <c r="F20" i="26"/>
  <c r="D20" i="26"/>
  <c r="Q19" i="26"/>
  <c r="N19" i="26" s="1"/>
  <c r="M19" i="26"/>
  <c r="L19" i="26"/>
  <c r="F19" i="26"/>
  <c r="D19" i="26"/>
  <c r="Q18" i="26"/>
  <c r="N18" i="26" s="1"/>
  <c r="M18" i="26"/>
  <c r="L18" i="26"/>
  <c r="F18" i="26"/>
  <c r="D18" i="26"/>
  <c r="Q17" i="26"/>
  <c r="N17" i="26"/>
  <c r="M17" i="26"/>
  <c r="L17" i="26"/>
  <c r="F17" i="26"/>
  <c r="D17" i="26"/>
  <c r="M16" i="26"/>
  <c r="L16" i="26"/>
  <c r="Q16" i="26" s="1"/>
  <c r="N16" i="26" s="1"/>
  <c r="F16" i="26"/>
  <c r="D16" i="26"/>
  <c r="Q15" i="26"/>
  <c r="N15" i="26" s="1"/>
  <c r="M15" i="26"/>
  <c r="L15" i="26"/>
  <c r="F15" i="26"/>
  <c r="D15" i="26"/>
  <c r="M14" i="26"/>
  <c r="L14" i="26"/>
  <c r="Q14" i="26" s="1"/>
  <c r="N14" i="26" s="1"/>
  <c r="F14" i="26"/>
  <c r="D14" i="26"/>
  <c r="M13" i="26"/>
  <c r="L13" i="26"/>
  <c r="Q13" i="26" s="1"/>
  <c r="N13" i="26" s="1"/>
  <c r="F13" i="26"/>
  <c r="D13" i="26"/>
  <c r="M12" i="26"/>
  <c r="L12" i="26"/>
  <c r="F12" i="26"/>
  <c r="D12" i="26"/>
  <c r="J8" i="26"/>
  <c r="I8" i="26"/>
  <c r="E148" i="26" s="1"/>
  <c r="H8" i="26"/>
  <c r="D148" i="26" s="1"/>
  <c r="D8" i="26"/>
  <c r="C148" i="26" s="1"/>
  <c r="A8" i="26"/>
  <c r="A148" i="26" s="1"/>
  <c r="H5" i="26"/>
  <c r="K140" i="26" s="1"/>
  <c r="H148" i="26" l="1"/>
  <c r="W148" i="26" s="1"/>
  <c r="K134" i="26"/>
  <c r="R12" i="28"/>
  <c r="O12" i="28" s="1"/>
  <c r="P12" i="28" s="1"/>
  <c r="R26" i="28"/>
  <c r="O26" i="28" s="1"/>
  <c r="P26" i="28" s="1"/>
  <c r="R20" i="28"/>
  <c r="O20" i="28" s="1"/>
  <c r="P20" i="28" s="1"/>
  <c r="R24" i="28"/>
  <c r="O24" i="28" s="1"/>
  <c r="P24" i="28" s="1"/>
  <c r="R14" i="28"/>
  <c r="O14" i="28" s="1"/>
  <c r="P14" i="28" s="1"/>
  <c r="R27" i="28"/>
  <c r="O27" i="28" s="1"/>
  <c r="P27" i="28" s="1"/>
  <c r="R18" i="28"/>
  <c r="O18" i="28" s="1"/>
  <c r="P18" i="28" s="1"/>
  <c r="R32" i="28"/>
  <c r="O32" i="28" s="1"/>
  <c r="P32" i="28" s="1"/>
  <c r="R30" i="28"/>
  <c r="O30" i="28" s="1"/>
  <c r="P30" i="28" s="1"/>
  <c r="R21" i="28"/>
  <c r="O21" i="28" s="1"/>
  <c r="P21" i="28" s="1"/>
  <c r="R23" i="28"/>
  <c r="O23" i="28" s="1"/>
  <c r="P23" i="28" s="1"/>
  <c r="R16" i="28"/>
  <c r="O16" i="28" s="1"/>
  <c r="P16" i="28" s="1"/>
  <c r="R29" i="28"/>
  <c r="O29" i="28" s="1"/>
  <c r="P29" i="28" s="1"/>
  <c r="A134" i="27"/>
  <c r="R21" i="27"/>
  <c r="O21" i="27" s="1"/>
  <c r="P21" i="27" s="1"/>
  <c r="R25" i="27"/>
  <c r="O25" i="27" s="1"/>
  <c r="P25" i="27" s="1"/>
  <c r="R28" i="27"/>
  <c r="O28" i="27" s="1"/>
  <c r="P28" i="27" s="1"/>
  <c r="R31" i="27"/>
  <c r="O31" i="27" s="1"/>
  <c r="P31" i="27" s="1"/>
  <c r="R24" i="27"/>
  <c r="O24" i="27" s="1"/>
  <c r="P24" i="27" s="1"/>
  <c r="R23" i="27"/>
  <c r="O23" i="27" s="1"/>
  <c r="P23" i="27" s="1"/>
  <c r="R12" i="27"/>
  <c r="O12" i="27" s="1"/>
  <c r="P12" i="27" s="1"/>
  <c r="R16" i="27"/>
  <c r="O16" i="27" s="1"/>
  <c r="P16" i="27" s="1"/>
  <c r="R14" i="27"/>
  <c r="O14" i="27" s="1"/>
  <c r="P14" i="27" s="1"/>
  <c r="R27" i="27"/>
  <c r="O27" i="27" s="1"/>
  <c r="P27" i="27" s="1"/>
  <c r="R18" i="27"/>
  <c r="O18" i="27" s="1"/>
  <c r="P18" i="27" s="1"/>
  <c r="R20" i="27"/>
  <c r="O20" i="27" s="1"/>
  <c r="P20" i="27" s="1"/>
  <c r="R32" i="27"/>
  <c r="O32" i="27" s="1"/>
  <c r="P32" i="27" s="1"/>
  <c r="R30" i="27"/>
  <c r="O30" i="27" s="1"/>
  <c r="P30" i="27" s="1"/>
  <c r="R13" i="27"/>
  <c r="O13" i="27" s="1"/>
  <c r="P13" i="27" s="1"/>
  <c r="R15" i="27"/>
  <c r="O15" i="27" s="1"/>
  <c r="P15" i="27" s="1"/>
  <c r="R17" i="27"/>
  <c r="O17" i="27" s="1"/>
  <c r="P17" i="27" s="1"/>
  <c r="L50" i="26"/>
  <c r="M50" i="26" s="1"/>
  <c r="M32" i="26"/>
  <c r="R18" i="26" s="1"/>
  <c r="O18" i="26" s="1"/>
  <c r="P18" i="26" s="1"/>
  <c r="L32" i="26"/>
  <c r="A134" i="26" s="1"/>
  <c r="Q12" i="26"/>
  <c r="N12" i="26" s="1"/>
  <c r="M35" i="26"/>
  <c r="D12" i="11"/>
  <c r="G148" i="11"/>
  <c r="B148" i="11"/>
  <c r="I134" i="11"/>
  <c r="V148" i="11" s="1"/>
  <c r="K130" i="11"/>
  <c r="J134" i="11" s="1"/>
  <c r="T148" i="11" s="1"/>
  <c r="F125" i="11"/>
  <c r="F119" i="11"/>
  <c r="H134" i="11" s="1"/>
  <c r="U148" i="11" s="1"/>
  <c r="F113" i="11"/>
  <c r="G134" i="11" s="1"/>
  <c r="S148" i="11" s="1"/>
  <c r="R112" i="11"/>
  <c r="L112" i="11"/>
  <c r="R111" i="11"/>
  <c r="L111" i="11"/>
  <c r="R110" i="11"/>
  <c r="L110" i="11"/>
  <c r="R109" i="11"/>
  <c r="L109" i="11"/>
  <c r="R108" i="11"/>
  <c r="L108" i="11"/>
  <c r="R107" i="11"/>
  <c r="L107" i="11"/>
  <c r="R106" i="11"/>
  <c r="L106" i="11"/>
  <c r="R105" i="11"/>
  <c r="L105" i="11"/>
  <c r="R104" i="11"/>
  <c r="L104" i="11"/>
  <c r="R103" i="11"/>
  <c r="L103" i="11"/>
  <c r="R102" i="11"/>
  <c r="L102" i="11"/>
  <c r="R101" i="11"/>
  <c r="L101" i="11"/>
  <c r="P97" i="11"/>
  <c r="O97" i="11"/>
  <c r="F97" i="11"/>
  <c r="F134" i="11" s="1"/>
  <c r="K148" i="11" s="1"/>
  <c r="P96" i="11"/>
  <c r="O96" i="11"/>
  <c r="P95" i="11"/>
  <c r="O95" i="11"/>
  <c r="P94" i="11"/>
  <c r="O94" i="11"/>
  <c r="P93" i="11"/>
  <c r="O93" i="11"/>
  <c r="P92" i="11"/>
  <c r="O92" i="11"/>
  <c r="P91" i="11"/>
  <c r="O91" i="11"/>
  <c r="P90" i="11"/>
  <c r="O90" i="11"/>
  <c r="P89" i="11"/>
  <c r="O89" i="11"/>
  <c r="P88" i="11"/>
  <c r="O88" i="11"/>
  <c r="P87" i="11"/>
  <c r="O87" i="11"/>
  <c r="P86" i="11"/>
  <c r="O86" i="11"/>
  <c r="P85" i="11"/>
  <c r="O85" i="11"/>
  <c r="F81" i="11"/>
  <c r="E134" i="11" s="1"/>
  <c r="J148" i="11" s="1"/>
  <c r="R80" i="11"/>
  <c r="Q80" i="11"/>
  <c r="R79" i="11"/>
  <c r="Q79" i="11"/>
  <c r="R78" i="11"/>
  <c r="Q78" i="11"/>
  <c r="R77" i="11"/>
  <c r="Q77" i="11"/>
  <c r="R76" i="11"/>
  <c r="Q76" i="11"/>
  <c r="R75" i="11"/>
  <c r="Q75" i="11"/>
  <c r="R74" i="11"/>
  <c r="Q74" i="11"/>
  <c r="R73" i="11"/>
  <c r="Q73" i="11"/>
  <c r="R72" i="11"/>
  <c r="Q72" i="11"/>
  <c r="R71" i="11"/>
  <c r="Q71" i="11"/>
  <c r="R70" i="11"/>
  <c r="Q70" i="11"/>
  <c r="Q68" i="11"/>
  <c r="L68" i="11"/>
  <c r="F65" i="11"/>
  <c r="D134" i="11" s="1"/>
  <c r="R148" i="11" s="1"/>
  <c r="R64" i="11"/>
  <c r="Q64" i="11"/>
  <c r="R63" i="11"/>
  <c r="Q63" i="11"/>
  <c r="R62" i="11"/>
  <c r="Q62" i="11"/>
  <c r="R61" i="11"/>
  <c r="Q61" i="11"/>
  <c r="R60" i="11"/>
  <c r="Q60" i="11"/>
  <c r="R59" i="11"/>
  <c r="Q59" i="11"/>
  <c r="R58" i="11"/>
  <c r="Q58" i="11"/>
  <c r="R57" i="11"/>
  <c r="Q57" i="11"/>
  <c r="R56" i="11"/>
  <c r="Q56" i="11"/>
  <c r="R55" i="11"/>
  <c r="Q55" i="11"/>
  <c r="R54" i="11"/>
  <c r="Q54" i="11"/>
  <c r="K50" i="11"/>
  <c r="C134" i="11" s="1"/>
  <c r="I148" i="11" s="1"/>
  <c r="R49" i="11"/>
  <c r="Q49" i="11"/>
  <c r="L49" i="11"/>
  <c r="R48" i="11"/>
  <c r="Q48" i="11"/>
  <c r="L48" i="11"/>
  <c r="R47" i="11"/>
  <c r="Q47" i="11"/>
  <c r="L47" i="11"/>
  <c r="R46" i="11"/>
  <c r="Q46" i="11"/>
  <c r="L46" i="11"/>
  <c r="R45" i="11"/>
  <c r="Q45" i="11"/>
  <c r="L45" i="11"/>
  <c r="R44" i="11"/>
  <c r="Q44" i="11"/>
  <c r="L44" i="11"/>
  <c r="R43" i="11"/>
  <c r="Q43" i="11"/>
  <c r="L43" i="11"/>
  <c r="R42" i="11"/>
  <c r="Q42" i="11"/>
  <c r="L42" i="11"/>
  <c r="R41" i="11"/>
  <c r="Q41" i="11"/>
  <c r="L41" i="11"/>
  <c r="R40" i="11"/>
  <c r="Q40" i="11"/>
  <c r="L40" i="11"/>
  <c r="R39" i="11"/>
  <c r="Q39" i="11"/>
  <c r="L39" i="11"/>
  <c r="R38" i="11"/>
  <c r="Q38" i="11"/>
  <c r="L38" i="11"/>
  <c r="R37" i="11"/>
  <c r="Q37" i="11"/>
  <c r="L37" i="11"/>
  <c r="L35" i="11"/>
  <c r="I35" i="11"/>
  <c r="K32" i="11"/>
  <c r="B134" i="11" s="1"/>
  <c r="J32" i="11"/>
  <c r="M31" i="11"/>
  <c r="L31" i="11"/>
  <c r="Q31" i="11" s="1"/>
  <c r="N31" i="11" s="1"/>
  <c r="D31" i="11"/>
  <c r="M30" i="11"/>
  <c r="L30" i="11"/>
  <c r="Q30" i="11" s="1"/>
  <c r="N30" i="11" s="1"/>
  <c r="D30" i="11"/>
  <c r="M29" i="11"/>
  <c r="L29" i="11"/>
  <c r="Q29" i="11" s="1"/>
  <c r="N29" i="11" s="1"/>
  <c r="D29" i="11"/>
  <c r="M28" i="11"/>
  <c r="L28" i="11"/>
  <c r="Q28" i="11" s="1"/>
  <c r="N28" i="11" s="1"/>
  <c r="D28" i="11"/>
  <c r="M27" i="11"/>
  <c r="L27" i="11"/>
  <c r="Q27" i="11" s="1"/>
  <c r="N27" i="11" s="1"/>
  <c r="D27" i="11"/>
  <c r="M26" i="11"/>
  <c r="L26" i="11"/>
  <c r="Q26" i="11" s="1"/>
  <c r="N26" i="11" s="1"/>
  <c r="D26" i="11"/>
  <c r="M25" i="11"/>
  <c r="L25" i="11"/>
  <c r="Q25" i="11" s="1"/>
  <c r="N25" i="11" s="1"/>
  <c r="D25" i="11"/>
  <c r="M24" i="11"/>
  <c r="L24" i="11"/>
  <c r="Q24" i="11" s="1"/>
  <c r="N24" i="11" s="1"/>
  <c r="D24" i="11"/>
  <c r="M23" i="11"/>
  <c r="L23" i="11"/>
  <c r="Q23" i="11" s="1"/>
  <c r="N23" i="11" s="1"/>
  <c r="D23" i="11"/>
  <c r="M21" i="11"/>
  <c r="L21" i="11"/>
  <c r="Q21" i="11" s="1"/>
  <c r="N21" i="11" s="1"/>
  <c r="F21" i="11"/>
  <c r="D21" i="11"/>
  <c r="M20" i="11"/>
  <c r="L20" i="11"/>
  <c r="Q20" i="11" s="1"/>
  <c r="N20" i="11" s="1"/>
  <c r="F20" i="11"/>
  <c r="D20" i="11"/>
  <c r="Q19" i="11"/>
  <c r="N19" i="11" s="1"/>
  <c r="M19" i="11"/>
  <c r="L19" i="11"/>
  <c r="F19" i="11"/>
  <c r="D19" i="11"/>
  <c r="Q18" i="11"/>
  <c r="N18" i="11"/>
  <c r="M18" i="11"/>
  <c r="L18" i="11"/>
  <c r="F18" i="11"/>
  <c r="D18" i="11"/>
  <c r="Q17" i="11"/>
  <c r="N17" i="11"/>
  <c r="M17" i="11"/>
  <c r="L17" i="11"/>
  <c r="F17" i="11"/>
  <c r="D17" i="11"/>
  <c r="M16" i="11"/>
  <c r="L16" i="11"/>
  <c r="Q16" i="11" s="1"/>
  <c r="N16" i="11" s="1"/>
  <c r="F16" i="11"/>
  <c r="D16" i="11"/>
  <c r="Q15" i="11"/>
  <c r="N15" i="11" s="1"/>
  <c r="M15" i="11"/>
  <c r="L15" i="11"/>
  <c r="F15" i="11"/>
  <c r="D15" i="11"/>
  <c r="M14" i="11"/>
  <c r="L14" i="11"/>
  <c r="Q14" i="11" s="1"/>
  <c r="N14" i="11" s="1"/>
  <c r="F14" i="11"/>
  <c r="D14" i="11"/>
  <c r="M13" i="11"/>
  <c r="L13" i="11"/>
  <c r="Q13" i="11" s="1"/>
  <c r="N13" i="11" s="1"/>
  <c r="F13" i="11"/>
  <c r="D13" i="11"/>
  <c r="M12" i="11"/>
  <c r="L12" i="11"/>
  <c r="F12" i="11"/>
  <c r="J8" i="11"/>
  <c r="I8" i="11"/>
  <c r="E148" i="11" s="1"/>
  <c r="H8" i="11"/>
  <c r="D148" i="11" s="1"/>
  <c r="D8" i="11"/>
  <c r="C148" i="11" s="1"/>
  <c r="A8" i="11"/>
  <c r="A148" i="11" s="1"/>
  <c r="H5" i="11"/>
  <c r="K140" i="11" s="1"/>
  <c r="O3" i="50"/>
  <c r="Y3" i="50"/>
  <c r="AM3" i="50" l="1"/>
  <c r="AC3" i="50"/>
  <c r="H148" i="11"/>
  <c r="K134" i="11"/>
  <c r="R30" i="26"/>
  <c r="O30" i="26" s="1"/>
  <c r="P30" i="26" s="1"/>
  <c r="R27" i="26"/>
  <c r="O27" i="26" s="1"/>
  <c r="P27" i="26" s="1"/>
  <c r="R24" i="26"/>
  <c r="O24" i="26" s="1"/>
  <c r="P24" i="26" s="1"/>
  <c r="R16" i="26"/>
  <c r="O16" i="26" s="1"/>
  <c r="P16" i="26" s="1"/>
  <c r="R20" i="26"/>
  <c r="O20" i="26" s="1"/>
  <c r="P20" i="26" s="1"/>
  <c r="L113" i="11"/>
  <c r="M35" i="11" s="1"/>
  <c r="R13" i="26"/>
  <c r="O13" i="26" s="1"/>
  <c r="P13" i="26" s="1"/>
  <c r="R26" i="26"/>
  <c r="O26" i="26" s="1"/>
  <c r="P26" i="26" s="1"/>
  <c r="R17" i="26"/>
  <c r="O17" i="26" s="1"/>
  <c r="P17" i="26" s="1"/>
  <c r="R15" i="26"/>
  <c r="O15" i="26" s="1"/>
  <c r="P15" i="26" s="1"/>
  <c r="R21" i="26"/>
  <c r="O21" i="26" s="1"/>
  <c r="P21" i="26" s="1"/>
  <c r="R19" i="26"/>
  <c r="O19" i="26" s="1"/>
  <c r="P19" i="26" s="1"/>
  <c r="R25" i="26"/>
  <c r="O25" i="26" s="1"/>
  <c r="P25" i="26" s="1"/>
  <c r="R23" i="26"/>
  <c r="O23" i="26" s="1"/>
  <c r="P23" i="26" s="1"/>
  <c r="R28" i="26"/>
  <c r="O28" i="26" s="1"/>
  <c r="P28" i="26" s="1"/>
  <c r="R29" i="26"/>
  <c r="O29" i="26" s="1"/>
  <c r="P29" i="26" s="1"/>
  <c r="R31" i="26"/>
  <c r="O31" i="26" s="1"/>
  <c r="P31" i="26" s="1"/>
  <c r="R14" i="26"/>
  <c r="O14" i="26" s="1"/>
  <c r="P14" i="26" s="1"/>
  <c r="R12" i="26"/>
  <c r="O12" i="26" s="1"/>
  <c r="P12" i="26" s="1"/>
  <c r="R32" i="26"/>
  <c r="O32" i="26" s="1"/>
  <c r="Q32" i="26"/>
  <c r="N32" i="26" s="1"/>
  <c r="L50" i="11"/>
  <c r="M50" i="11" s="1"/>
  <c r="Q50" i="11"/>
  <c r="R50" i="11"/>
  <c r="L32" i="11"/>
  <c r="A134" i="11" s="1"/>
  <c r="M32" i="11"/>
  <c r="R24" i="11" s="1"/>
  <c r="O24" i="11" s="1"/>
  <c r="P24" i="11" s="1"/>
  <c r="Q12" i="11"/>
  <c r="N12" i="11" s="1"/>
  <c r="O2" i="50"/>
  <c r="AC2" i="50" l="1"/>
  <c r="AC33" i="50" s="1"/>
  <c r="O31" i="50" s="1"/>
  <c r="O33" i="50" s="1"/>
  <c r="W148" i="11"/>
  <c r="P32" i="26"/>
  <c r="R27" i="11"/>
  <c r="O27" i="11" s="1"/>
  <c r="P27" i="11" s="1"/>
  <c r="R30" i="11"/>
  <c r="O30" i="11" s="1"/>
  <c r="P30" i="11" s="1"/>
  <c r="R13" i="11"/>
  <c r="O13" i="11" s="1"/>
  <c r="P13" i="11" s="1"/>
  <c r="Q32" i="11"/>
  <c r="N32" i="11" s="1"/>
  <c r="R15" i="11"/>
  <c r="O15" i="11" s="1"/>
  <c r="P15" i="11" s="1"/>
  <c r="R19" i="11"/>
  <c r="O19" i="11" s="1"/>
  <c r="P19" i="11" s="1"/>
  <c r="R23" i="11"/>
  <c r="O23" i="11" s="1"/>
  <c r="P23" i="11" s="1"/>
  <c r="R26" i="11"/>
  <c r="O26" i="11" s="1"/>
  <c r="P26" i="11" s="1"/>
  <c r="R29" i="11"/>
  <c r="O29" i="11" s="1"/>
  <c r="P29" i="11" s="1"/>
  <c r="R31" i="11"/>
  <c r="O31" i="11" s="1"/>
  <c r="P31" i="11" s="1"/>
  <c r="R14" i="11"/>
  <c r="O14" i="11" s="1"/>
  <c r="P14" i="11" s="1"/>
  <c r="R17" i="11"/>
  <c r="O17" i="11" s="1"/>
  <c r="P17" i="11" s="1"/>
  <c r="R21" i="11"/>
  <c r="O21" i="11" s="1"/>
  <c r="P21" i="11" s="1"/>
  <c r="R12" i="11"/>
  <c r="O12" i="11" s="1"/>
  <c r="P12" i="11" s="1"/>
  <c r="R18" i="11"/>
  <c r="O18" i="11" s="1"/>
  <c r="P18" i="11" s="1"/>
  <c r="R25" i="11"/>
  <c r="O25" i="11" s="1"/>
  <c r="P25" i="11" s="1"/>
  <c r="R28" i="11"/>
  <c r="O28" i="11" s="1"/>
  <c r="P28" i="11" s="1"/>
  <c r="R16" i="11"/>
  <c r="O16" i="11" s="1"/>
  <c r="P16" i="11" s="1"/>
  <c r="R32" i="11"/>
  <c r="O32" i="11" s="1"/>
  <c r="R20" i="11"/>
  <c r="O20" i="11" s="1"/>
  <c r="P20" i="11" s="1"/>
  <c r="Y2" i="50"/>
  <c r="AM2" i="50" l="1"/>
  <c r="AM33" i="50" s="1"/>
  <c r="Y31" i="50" s="1"/>
  <c r="Y33" i="50" s="1"/>
  <c r="O34" i="50" s="1"/>
  <c r="P32" i="11"/>
  <c r="J50" i="4"/>
  <c r="J51" i="4"/>
  <c r="J52" i="4"/>
  <c r="J53" i="4"/>
  <c r="J54" i="4"/>
  <c r="J55" i="4"/>
  <c r="J144" i="4"/>
  <c r="J145" i="4"/>
  <c r="J146" i="4"/>
  <c r="J142" i="4"/>
  <c r="J143" i="4"/>
  <c r="J147" i="4"/>
  <c r="Y34" i="50" l="1"/>
  <c r="N34" i="50"/>
  <c r="V34" i="50"/>
  <c r="U34" i="50"/>
  <c r="T34" i="50"/>
  <c r="P34" i="50"/>
  <c r="Q34" i="50"/>
  <c r="W34" i="50"/>
  <c r="S34" i="50"/>
  <c r="X34" i="50"/>
  <c r="M34" i="50"/>
  <c r="R34" i="50"/>
  <c r="J132" i="4"/>
  <c r="J120" i="4"/>
  <c r="J115" i="4"/>
  <c r="J91" i="4"/>
  <c r="C30" i="2" l="1"/>
  <c r="C95" i="2"/>
  <c r="J7" i="4" l="1"/>
  <c r="J14" i="4"/>
  <c r="J20" i="4"/>
  <c r="J25" i="4"/>
  <c r="J28" i="4"/>
  <c r="J30" i="4"/>
  <c r="J31" i="4"/>
  <c r="J33" i="4"/>
  <c r="J37" i="4"/>
  <c r="J38" i="4"/>
  <c r="J41" i="4"/>
  <c r="J59" i="4"/>
  <c r="J65" i="4"/>
  <c r="J79" i="4"/>
  <c r="J89" i="4"/>
  <c r="J99" i="4"/>
  <c r="J106" i="4"/>
  <c r="J118" i="4"/>
  <c r="J131" i="4"/>
  <c r="J44" i="4"/>
  <c r="J63" i="4"/>
  <c r="J101" i="4"/>
  <c r="J135" i="4"/>
  <c r="J29" i="4"/>
  <c r="J34" i="4"/>
  <c r="J42" i="4"/>
  <c r="J49" i="4"/>
  <c r="J57" i="4"/>
  <c r="J61" i="4"/>
  <c r="J66" i="4"/>
  <c r="J72" i="4"/>
  <c r="J78" i="4"/>
  <c r="J83" i="4"/>
  <c r="J84" i="4"/>
  <c r="J90" i="4"/>
  <c r="J128" i="4"/>
  <c r="J141" i="4"/>
  <c r="J152" i="4"/>
  <c r="J154" i="4"/>
  <c r="J155" i="4"/>
  <c r="J12" i="4"/>
  <c r="J48" i="4"/>
  <c r="J121" i="4"/>
  <c r="J140" i="4"/>
  <c r="J156" i="4"/>
  <c r="J2" i="4"/>
  <c r="J3" i="4"/>
  <c r="J11" i="4"/>
  <c r="J13" i="4"/>
  <c r="J17" i="4"/>
  <c r="J21" i="4"/>
  <c r="J64" i="4"/>
  <c r="J68" i="4"/>
  <c r="J76" i="4"/>
  <c r="J81" i="4"/>
  <c r="J97" i="4"/>
  <c r="J103" i="4"/>
  <c r="J104" i="4"/>
  <c r="J105" i="4"/>
  <c r="J110" i="4"/>
  <c r="J113" i="4"/>
  <c r="J125" i="4"/>
  <c r="J126" i="4"/>
  <c r="J127" i="4"/>
  <c r="J133" i="4"/>
  <c r="J136" i="4"/>
  <c r="J149" i="4"/>
  <c r="J150" i="4"/>
  <c r="J153" i="4"/>
  <c r="J69" i="4"/>
  <c r="J85" i="4"/>
  <c r="J111" i="4"/>
  <c r="J123" i="4"/>
  <c r="J4" i="4"/>
  <c r="J5" i="4"/>
  <c r="J9" i="4"/>
  <c r="J10" i="4"/>
  <c r="J16" i="4"/>
  <c r="J18" i="4"/>
  <c r="J19" i="4"/>
  <c r="J24" i="4"/>
  <c r="J26" i="4"/>
  <c r="J32" i="4"/>
  <c r="J56" i="4"/>
  <c r="J58" i="4"/>
  <c r="J73" i="4"/>
  <c r="J80" i="4"/>
  <c r="J92" i="4"/>
  <c r="J114" i="4"/>
  <c r="J117" i="4"/>
  <c r="J129" i="4"/>
  <c r="J138" i="4"/>
  <c r="J139" i="4"/>
  <c r="J151" i="4"/>
  <c r="J6" i="4"/>
  <c r="J8" i="4"/>
  <c r="J35" i="4"/>
  <c r="J36" i="4"/>
  <c r="J46" i="4"/>
  <c r="J60" i="4"/>
  <c r="J62" i="4"/>
  <c r="J86" i="4"/>
  <c r="J88" i="4"/>
  <c r="J95" i="4"/>
  <c r="J96" i="4"/>
  <c r="J108" i="4"/>
  <c r="J112" i="4"/>
  <c r="J130" i="4"/>
  <c r="J22" i="4"/>
  <c r="J23" i="4"/>
  <c r="J27" i="4"/>
  <c r="J39" i="4"/>
  <c r="J40" i="4"/>
  <c r="J47" i="4"/>
  <c r="J70" i="4"/>
  <c r="J82" i="4"/>
  <c r="J94" i="4"/>
  <c r="J100" i="4"/>
  <c r="J109" i="4"/>
  <c r="J116" i="4"/>
  <c r="J148" i="4"/>
  <c r="J43" i="4"/>
  <c r="J67" i="4"/>
  <c r="J77" i="4"/>
  <c r="J87" i="4"/>
  <c r="J137" i="4"/>
  <c r="J15" i="4"/>
  <c r="J45" i="4"/>
  <c r="J71" i="4"/>
  <c r="J74" i="4"/>
  <c r="J75" i="4"/>
  <c r="J93" i="4"/>
  <c r="J102" i="4"/>
  <c r="J107" i="4"/>
  <c r="J119" i="4"/>
  <c r="J122" i="4"/>
  <c r="J124" i="4"/>
  <c r="J134" i="4"/>
  <c r="J9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0E7FC439-0E9C-4FD1-BAC4-5327E47A3DE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72834A13-6B07-4838-A4DC-68CB4813D69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481830CC-D2B2-4F17-B785-CDE19268437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1FAC1D4C-469A-4F6D-8E0C-27DF5C4969C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302D2565-9370-4A31-BC52-B60F82F91700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3DC90A5D-537D-458C-A17F-94BD465B51E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9D73B879-5B1B-401A-991C-48FE993B1E19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CB3F0615-C4ED-43B7-9DF8-08A7EAA1D7A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7076FE44-2421-4873-8A8B-E63B0FEFF0F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5B2FAB21-3450-4BAD-B586-574383027CA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B766B79C-EE68-4C57-B906-A555149C138E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A272C6C2-B301-4EFC-8583-CF384BA12383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F04F51B4-135C-4783-8692-4DD901DE0909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E1B9F8C5-7F02-4552-ADC7-129B21A938AB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1D80C639-24BD-47EE-A466-8C6983EF992C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A4EB0180-8600-4A55-AF45-730FE001574D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82EF5BAE-49E5-4F66-8061-6DD318C60A9E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E26FCD07-9EA7-4A31-BAD8-B90550BA49C6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4297AF45-FA63-46E1-A2F3-FD00C47F8FA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C8687CAE-3374-466B-A237-ACA56C9EE13D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597C4744-775F-4292-8871-1268450E280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34C83F71-26BE-4C85-88D1-16B1F773A6D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2EA1F9C4-148B-459A-B632-C24FAB6AEFD3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08346280-95EB-433B-8932-B724E65368B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160C4750-6AC2-4019-BBEF-D21BA567233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0DC59808-3D1E-4ACA-BD1A-FD64625DB33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0F358A9D-24FE-4557-AB2D-4BA47666835D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41A86FF2-B38E-41B3-94EE-6BD2118FDA02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4A93D1E9-B49B-4BA1-99BF-78622C9D74E3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A65F766A-7951-4839-80B7-2E7A25EC4834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1784E8EE-F565-45C6-8195-E7057EE47F9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984ACC84-4CB7-4DBB-AB14-4D31B9D4429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371283E9-71E8-4BD8-B84C-68476173F39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4B83AD55-3567-4927-BFB1-888B63DDD972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E5D1BE0F-270B-470D-AA82-EC2B7D1CE8A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7B01B712-5892-444B-B140-9672D0C66C5B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37F88759-844C-4BBB-82F1-D7E79253524B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1A6B50B4-B216-42E8-82B9-E58E8FB9FB9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E7DF5DBE-DDB4-49D4-85DE-3CEDAEE0426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88AD06DB-9D05-493C-A946-9E29C5E4E69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97A5ABA8-A086-4BD8-B712-862150A74A3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98968A7C-9705-4587-A5E8-1DA765D58EF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F99548D8-77FD-4EF2-A41C-1EE92015618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9B87EB24-C1F6-4170-B0AF-9753BA3A053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02E5C84F-CA35-4B5A-A55A-14357175021C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49A61FFA-0DFB-45A3-8915-F8F0DE33742D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E4434406-87A7-46F2-A9E7-9C3B23A27E2B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9E316570-0031-41A9-8D01-ACAE342F654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5D8E4E72-97F0-4377-9C5B-318DDABFB8A4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628C57B2-B1DA-46EA-BB0B-E0EED96E4013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71242486-3DF4-4D3A-930A-8BBAAB6D5EA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CA8EDDFD-7B1C-4BD8-8CD5-5251C966154C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F90C8218-4413-4D7B-8E7A-619D44034EBE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293DD1D8-0FE0-45E5-BF78-DB98408CD90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2ABAAC93-9278-423A-87F4-3E1FBD89123C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BB7C0120-819E-49F7-A543-0717C44FD2B4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2A01BEF7-EDFA-4DDA-B73E-0DDB3BD8AD8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85DBCDBB-3768-452F-8FEB-8BABAB4345C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C329943C-5541-4853-BCD2-7A6F885D0176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778A7F73-1D45-4E18-BC35-0271B1A7084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BD8BD860-F901-4E2B-AE76-BC7EC891857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0B58F8DB-AAFF-4A57-97BD-1090A0A8D18D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2D4865F4-ED87-4291-8048-5C0157534132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23ED0EC3-C26B-46FD-A1BC-97A04FBCFD9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211F0AFE-F404-40A5-B457-B353876610E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7BA0512B-63B1-4A4B-A653-28CA9BF7A7D2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B2808A25-FBFF-4DFC-9907-96FD5DB1DCA0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B86276EE-01A6-4543-BCAB-FC773213CEA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2396D785-8DF8-4269-8B96-A1A9D758C3A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4F6F7C9A-B9DA-431E-9191-E516F446B8C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C3795DED-3419-4576-AF47-A2CD9BAACFC9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EAEAAE1C-A46D-48F8-8BBC-E4691274037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7095C33E-56AB-4E2C-8DE3-54D4F767E1B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A061DA50-7340-446E-A364-498D44865A92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ED9B1CBE-5F55-4DF7-87A4-87F66169C48E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8005F03D-5767-4BBF-A073-5CE67141EAC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53E55DC5-8761-4FE8-8DFF-2ACC5BE6171E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98E12EF7-126E-4036-B7FF-614684EB03F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6CCEBE08-6358-454B-92B1-9EBB7686C9F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B3A79CF5-69C3-4620-B204-820ACE3314B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70005C59-EA0B-467F-A309-15BEFCF6B28E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D1191CA7-1420-4759-8AFA-826B8B68309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E0D19FC0-61FF-432F-85CD-48DAEF92EA8E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23376B90-09A4-4E01-8F9E-6798C001EA66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51C4C070-8A6F-4831-9AD9-F72A9BF9BD5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2245528E-03E2-4625-B3D6-A88085B9FA3D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D6E8BEFD-BAC7-437E-B7A9-A30E138D527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ECCD4E04-5C74-4F38-82C9-B2108D333796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7F0DDC9D-83D1-416E-AA5C-4E159F8AC55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E8B576EB-507A-4E35-8EBB-FC8A42712C7D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3860CF06-78AD-4091-95D8-C60F788BDDD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D963CED0-A2FA-4EE0-A581-E030D9DE825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632BE40C-1B6A-4608-BA04-D8C827B360FB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B93E0948-96DB-4B49-9E16-C3448F9D30B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5B0E018E-B6C4-4D76-AC77-06DB5D59966C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CF029EF2-E9FB-48D4-A67C-4FE8E7D2B9E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A4B81E16-B4BD-427D-888F-277B0C48AFF4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69D6A3BC-DECD-4BA0-BAD3-85EC38E48A6E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E7C1C4EA-A027-44F4-B23B-5B6CBF09CCB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AB8419DC-6FD7-4C15-89F9-D43EE77A2B37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709025C9-FF3F-4F6C-BB02-BBA871C31C5B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85339887-22A2-47AA-B0A7-BBB9A1175B78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B5029C47-8544-433B-886B-53390ADDFF8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80CD42DE-B934-4041-B108-F6A4C8126429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107C8DC7-D340-4EA7-894F-66284864277D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0F150379-DE77-4DD4-B9FF-0621A190809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CA543FBD-2DBC-42E1-A438-E79C89EFECF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953D65F4-3C2F-4EA5-BD70-FBED79AE182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BDD222AE-A8FE-4B7E-9632-41310FA61F2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2AD7C549-F945-4CB6-AC64-81C67F3CB0C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66643532-A29E-4C4E-96B0-CCF9F7FD237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95DBD9CE-9802-48BE-BFA2-D0AC93A408C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E5CACFD1-C06E-40C9-BD5A-2F28D348FEB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69733751-ED6A-4583-BB55-E32DCF6058C5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4E7ED9A7-E12F-460A-BC78-1E15D87F6832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A5A8E8A8-8F3D-4759-BC14-43C21BCF1ECA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</author>
  </authors>
  <commentList>
    <comment ref="K32" authorId="0" shapeId="0" xr:uid="{D99B0621-9702-4D90-A9E7-B0DD3104DCDF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L32" authorId="0" shapeId="0" xr:uid="{098DD94F-B0C1-4934-9EFA-89A985655952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Créditos
</t>
        </r>
      </text>
    </comment>
    <comment ref="M32" authorId="0" shapeId="0" xr:uid="{981DBFC2-48B1-4118-A46C-F3F23C26D789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  <comment ref="Q32" authorId="0" shapeId="0" xr:uid="{8FBD8B0A-BB4B-4CAA-901B-431055E3E001}">
      <text>
        <r>
          <rPr>
            <b/>
            <sz val="9"/>
            <color indexed="81"/>
            <rFont val="Segoe UI"/>
            <family val="2"/>
          </rPr>
          <t>Daniel:</t>
        </r>
        <r>
          <rPr>
            <sz val="9"/>
            <color indexed="81"/>
            <rFont val="Segoe UI"/>
            <family val="2"/>
          </rPr>
          <t xml:space="preserve">
Total de Disciplinas
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SUITER</author>
  </authors>
  <commentList>
    <comment ref="C55" authorId="0" shapeId="0" xr:uid="{289673BB-B4E8-4FD8-990F-89A3545DBBD0}">
      <text>
        <r>
          <rPr>
            <b/>
            <sz val="9"/>
            <color indexed="81"/>
            <rFont val="Segoe UI"/>
            <family val="2"/>
          </rPr>
          <t xml:space="preserve">Cfme &amp;5 Art 3o da resolução
</t>
        </r>
      </text>
    </comment>
  </commentList>
</comments>
</file>

<file path=xl/sharedStrings.xml><?xml version="1.0" encoding="utf-8"?>
<sst xmlns="http://schemas.openxmlformats.org/spreadsheetml/2006/main" count="8924" uniqueCount="1416">
  <si>
    <t>ATIVIDADES DE ENSINO</t>
  </si>
  <si>
    <t>Curso</t>
  </si>
  <si>
    <t>Fase</t>
  </si>
  <si>
    <t>Prática</t>
  </si>
  <si>
    <t>Teórica</t>
  </si>
  <si>
    <t>Soma (Oculta)</t>
  </si>
  <si>
    <t>DESENVOLVIMENTO DA CARGA HORÁRIA</t>
  </si>
  <si>
    <t>Fórmula Oculta</t>
  </si>
  <si>
    <t>PLANO DE TRABALHO INDIVIDUAL</t>
  </si>
  <si>
    <t xml:space="preserve">ANEXO I – RESOLUÇÃO 073/2011 – CONSUNI </t>
  </si>
  <si>
    <t>UNIVERSIDADE DO ESTADO DE SANTA CATARINA-UDESC</t>
  </si>
  <si>
    <t>Professor:</t>
  </si>
  <si>
    <t>Departamento:</t>
  </si>
  <si>
    <t>Semestre: 2022/2</t>
  </si>
  <si>
    <t>Titulação:</t>
  </si>
  <si>
    <t>Regime:</t>
  </si>
  <si>
    <t>Classe:</t>
  </si>
  <si>
    <t>C/H Ensino</t>
  </si>
  <si>
    <t>Disciplinas-Graduação</t>
  </si>
  <si>
    <t>Disciplinas-Pós Graduação</t>
  </si>
  <si>
    <t>Programa</t>
  </si>
  <si>
    <t>C/H Ens.</t>
  </si>
  <si>
    <t>C/H Pedag.</t>
  </si>
  <si>
    <t>Orient.</t>
  </si>
  <si>
    <t>Proj. Ensino</t>
  </si>
  <si>
    <t>Projeto Pesquisa</t>
  </si>
  <si>
    <t>Ações Ext.</t>
  </si>
  <si>
    <t>Adm</t>
  </si>
  <si>
    <t>Capacitação</t>
  </si>
  <si>
    <t>Licença</t>
  </si>
  <si>
    <t>Formula para avisar CH pedagógica fora do sugerido</t>
  </si>
  <si>
    <t>Referência p coluna F</t>
  </si>
  <si>
    <t>Ensino</t>
  </si>
  <si>
    <t>Ativ Pedag.</t>
  </si>
  <si>
    <t>ATIVIDADES DE ADMINISTRAÇÃO</t>
  </si>
  <si>
    <t>ATIVIDADES DE ORIENTAÇÃO</t>
  </si>
  <si>
    <t>Modalidade</t>
  </si>
  <si>
    <t>Nome do Orientado</t>
  </si>
  <si>
    <t>Curso/Habilitação</t>
  </si>
  <si>
    <t>PROJETOS DE ENSINO</t>
  </si>
  <si>
    <t>Título</t>
  </si>
  <si>
    <t>C/H</t>
  </si>
  <si>
    <t>Autorização</t>
  </si>
  <si>
    <t>Início</t>
  </si>
  <si>
    <t>Término</t>
  </si>
  <si>
    <t>ATIVIDADES DE PESQUISA</t>
  </si>
  <si>
    <t>ATIVIDADES DE EXTENSÃO</t>
  </si>
  <si>
    <t>Atividade</t>
  </si>
  <si>
    <t>CAPACITAÇÃO</t>
  </si>
  <si>
    <t>Área de Concentração</t>
  </si>
  <si>
    <t>LICENÇA</t>
  </si>
  <si>
    <t>Tipo</t>
  </si>
  <si>
    <t>Data:</t>
  </si>
  <si>
    <t>Assinatura do Professor:</t>
  </si>
  <si>
    <t>CONFERÊNCIA DAS ATIVIDADES</t>
  </si>
  <si>
    <t>Plano/Atividade</t>
  </si>
  <si>
    <t>Setor</t>
  </si>
  <si>
    <t>Data</t>
  </si>
  <si>
    <t>Assinatura</t>
  </si>
  <si>
    <t>PTI</t>
  </si>
  <si>
    <t>Pesquisa/Capacitação</t>
  </si>
  <si>
    <t>Extensão</t>
  </si>
  <si>
    <t>Chefe Departamento</t>
  </si>
  <si>
    <t>Diretor de Ensino</t>
  </si>
  <si>
    <t>Diretor de Pesquisa</t>
  </si>
  <si>
    <t>Diretor de Extensão</t>
  </si>
  <si>
    <t>Josiane Teresinha Cardoso</t>
  </si>
  <si>
    <t>Alvaro Luíz Mafra</t>
  </si>
  <si>
    <t>Rodrigo Figueiredo Terezo</t>
  </si>
  <si>
    <t>Amanda Leite B. Pereira</t>
  </si>
  <si>
    <t>Cláudio Roberto Franco</t>
  </si>
  <si>
    <t xml:space="preserve">Luiz Cláudio Miletti </t>
  </si>
  <si>
    <t xml:space="preserve">Marcos Felipe Nicoletti </t>
  </si>
  <si>
    <t>Viviane Trevisan</t>
  </si>
  <si>
    <t>Tabela de Cores</t>
  </si>
  <si>
    <t>Deve ser incluso dados manualmente</t>
  </si>
  <si>
    <t>Não permite alteração</t>
  </si>
  <si>
    <t>Calculos efetuados pela planilha. Não permite alteração.</t>
  </si>
  <si>
    <t>Agronomia</t>
  </si>
  <si>
    <t>Engenharia Ambiental e Sanitária</t>
  </si>
  <si>
    <t>Engenharia Florestal</t>
  </si>
  <si>
    <t>Medicina Veterinária</t>
  </si>
  <si>
    <t>Produção Animal e Alimentos</t>
  </si>
  <si>
    <t>Solos e Recursos Naturais</t>
  </si>
  <si>
    <t>Doutor(a)</t>
  </si>
  <si>
    <t>Mestre(a)</t>
  </si>
  <si>
    <t>Titulação</t>
  </si>
  <si>
    <t>Graduação</t>
  </si>
  <si>
    <t>Dedicação Integral</t>
  </si>
  <si>
    <t>Hora/Aula</t>
  </si>
  <si>
    <t>40h</t>
  </si>
  <si>
    <t>Regime de Trabalho</t>
  </si>
  <si>
    <t>Adjunto</t>
  </si>
  <si>
    <t>Assistente</t>
  </si>
  <si>
    <t>Associado</t>
  </si>
  <si>
    <t>Sênior</t>
  </si>
  <si>
    <t>Titular</t>
  </si>
  <si>
    <t>Classe Profissional</t>
  </si>
  <si>
    <t>Professor é vinculado à programas pós graduação Recomendado pela CAPES?</t>
  </si>
  <si>
    <t>FUNÇÕES - ADMINISTRATIVA</t>
  </si>
  <si>
    <t>CH ADM</t>
  </si>
  <si>
    <t>Efetivo</t>
  </si>
  <si>
    <t>Categoria Funcional:</t>
  </si>
  <si>
    <t>Departamento</t>
  </si>
  <si>
    <t>Chefe de Departamento</t>
  </si>
  <si>
    <t>Paulo Cezar Cassol</t>
  </si>
  <si>
    <t>Diretor Geral</t>
  </si>
  <si>
    <t>Álvaro Luiz Mafra</t>
  </si>
  <si>
    <t>André Thaller Neto</t>
  </si>
  <si>
    <t>Especialização</t>
  </si>
  <si>
    <t>Parcial</t>
  </si>
  <si>
    <t>Resultado 1</t>
  </si>
  <si>
    <t>Resultado 2</t>
  </si>
  <si>
    <t>Tese</t>
  </si>
  <si>
    <t>Atividades de Orientação</t>
  </si>
  <si>
    <t>Dissertação</t>
  </si>
  <si>
    <t>TCC</t>
  </si>
  <si>
    <t>Monografia</t>
  </si>
  <si>
    <t>CH Mínima</t>
  </si>
  <si>
    <t>Teto</t>
  </si>
  <si>
    <t>CH Máxima Unit</t>
  </si>
  <si>
    <t>TETO GERAL</t>
  </si>
  <si>
    <t>Cálculo do Coord. Estágio</t>
  </si>
  <si>
    <t>FASE</t>
  </si>
  <si>
    <t>Disciplina</t>
  </si>
  <si>
    <t>Álgebra Linear e Geometria Analítica</t>
  </si>
  <si>
    <t>Biologia Geral</t>
  </si>
  <si>
    <t>Cálculo Diferencial e Integral I</t>
  </si>
  <si>
    <t>Introdução à Engenharia Ambiental e Sanitária</t>
  </si>
  <si>
    <t>Física I</t>
  </si>
  <si>
    <t>Cálculo Diferencial e Integral II</t>
  </si>
  <si>
    <t>Epistemologia e Metodologia</t>
  </si>
  <si>
    <t>Física II</t>
  </si>
  <si>
    <t>Programação de Computadores</t>
  </si>
  <si>
    <t>Química Geral</t>
  </si>
  <si>
    <t>Cálculo Numérico</t>
  </si>
  <si>
    <t>Ecologia Geral e Aplicada</t>
  </si>
  <si>
    <t>Física III</t>
  </si>
  <si>
    <t>Fenômenos de Transporte</t>
  </si>
  <si>
    <t>Instrumentação Aplicada</t>
  </si>
  <si>
    <t>Química Ambiental</t>
  </si>
  <si>
    <t>Geologia e Pedologia</t>
  </si>
  <si>
    <t>Resistência de Materiais</t>
  </si>
  <si>
    <t>Economia</t>
  </si>
  <si>
    <t>Geoquímica Ambiental</t>
  </si>
  <si>
    <t xml:space="preserve">Geotecnia </t>
  </si>
  <si>
    <t xml:space="preserve">Hidráulica </t>
  </si>
  <si>
    <t>Legislação e Direito Ambiental</t>
  </si>
  <si>
    <t>Teoria das Estruturas</t>
  </si>
  <si>
    <t>Análise Multivariada</t>
  </si>
  <si>
    <t>Licenciamento Ambiental</t>
  </si>
  <si>
    <t>Materiais e Métodos de Construção</t>
  </si>
  <si>
    <t>Microbiologia Aplicada a Engenharia Ambiental e Sanitária</t>
  </si>
  <si>
    <t>Qualidade do Ar e Poluição Atmosférica</t>
  </si>
  <si>
    <t>Sistemas de Tratamento de Água</t>
  </si>
  <si>
    <t>Educação e Prática Ambiental</t>
  </si>
  <si>
    <t>Saneamento a Saúde Pública</t>
  </si>
  <si>
    <t>Ética Profissional</t>
  </si>
  <si>
    <t>Projeto de Instalações Prediais Hidrossanitárias</t>
  </si>
  <si>
    <t>Operações e Processos de Tratamento Biológico de Efluentes</t>
  </si>
  <si>
    <t>Tratamento de Resíduos</t>
  </si>
  <si>
    <t>Operações e Processos de Tratamento Físico Químico de Efluentes</t>
  </si>
  <si>
    <t>Análise de Riscos e Impactos Ambientais</t>
  </si>
  <si>
    <t>Drenagem Urbana e Controle de Enchentes</t>
  </si>
  <si>
    <t>Gestão de Bacias Hidrográficas</t>
  </si>
  <si>
    <t>Modelagem e Simulação Ambiental</t>
  </si>
  <si>
    <t>Planejamento e Projeto de Redes Hidráulicas e Sanitárias</t>
  </si>
  <si>
    <t>Planejamento e Gestão Ambiental</t>
  </si>
  <si>
    <t>Toxicologia Ambiental</t>
  </si>
  <si>
    <t>Proteção e Recuperação Ambiental</t>
  </si>
  <si>
    <t>Gestão de Desastres Naturais</t>
  </si>
  <si>
    <t>Projeto Ambiental</t>
  </si>
  <si>
    <t>Monitoramento Ambiental</t>
  </si>
  <si>
    <t>Biomarcadores aplicados a Avaliação de Impacto Ambiental</t>
  </si>
  <si>
    <t>Contabilidade Ambiental</t>
  </si>
  <si>
    <t>Desenho Auxiliado Por Computador</t>
  </si>
  <si>
    <t>Ecossistemas Aquáticos e Terrestres</t>
  </si>
  <si>
    <t>Ergonomia e Segurança no Trabalho</t>
  </si>
  <si>
    <t>Laboratório de Trat. De Água e Afluentes</t>
  </si>
  <si>
    <t>Planejamento Territorial Urbano</t>
  </si>
  <si>
    <t>Processos Litorâneos</t>
  </si>
  <si>
    <t>Unidades de Conservação</t>
  </si>
  <si>
    <t>Educação Física Curricular I</t>
  </si>
  <si>
    <t>Introdução à Agronomia</t>
  </si>
  <si>
    <t>Matemática Básica</t>
  </si>
  <si>
    <t>Anatomia e Fisiologia dos Animais Dom.</t>
  </si>
  <si>
    <t>Cálculo Diferencial e Integral</t>
  </si>
  <si>
    <t>Educação Física Curricular II</t>
  </si>
  <si>
    <t>Experimentação Agrícola</t>
  </si>
  <si>
    <t>Ecologia Geral e Agrícola</t>
  </si>
  <si>
    <t>Prática de Máquinas Agrícolas</t>
  </si>
  <si>
    <t>Biologia do Solo</t>
  </si>
  <si>
    <t>Entomologia Geral</t>
  </si>
  <si>
    <t>Fitopatologia Geral</t>
  </si>
  <si>
    <t>Horticultura</t>
  </si>
  <si>
    <t>Legislação Agrária</t>
  </si>
  <si>
    <t>Melhoramento Vegetal</t>
  </si>
  <si>
    <t>Uso e Conservação do Solo</t>
  </si>
  <si>
    <t>Construções Rurais</t>
  </si>
  <si>
    <t>Entomologia Agrícola</t>
  </si>
  <si>
    <t>Fitopatologia Agrícola</t>
  </si>
  <si>
    <t>Hidráulica Agrícola</t>
  </si>
  <si>
    <t>Introdução à Economia</t>
  </si>
  <si>
    <t>Olericultura</t>
  </si>
  <si>
    <t>Técnicas de Análises Bromatológicas</t>
  </si>
  <si>
    <t>Biologia e Manejo de Plantas Daninhas</t>
  </si>
  <si>
    <t>Comercialização Agrícola</t>
  </si>
  <si>
    <t>Culturas de Inverno</t>
  </si>
  <si>
    <t>Economia Agrícola</t>
  </si>
  <si>
    <t>Irrigação e Drenagem</t>
  </si>
  <si>
    <t>Silvicultura Geral</t>
  </si>
  <si>
    <t>Fruticultura</t>
  </si>
  <si>
    <t>Gramíneas de Verão</t>
  </si>
  <si>
    <t>Tecnologia de Produtos Agropecuários</t>
  </si>
  <si>
    <t>Adubação e Calagem</t>
  </si>
  <si>
    <t>Dicotiledôneas de Verão</t>
  </si>
  <si>
    <t>Planejamento Agrícola</t>
  </si>
  <si>
    <t>Tecnologia e Produção de Sementes</t>
  </si>
  <si>
    <t>Agrometeorologia</t>
  </si>
  <si>
    <t>Agrossilvicultura</t>
  </si>
  <si>
    <t>Controle Biológico</t>
  </si>
  <si>
    <t>Drenagem Agrícola</t>
  </si>
  <si>
    <t>Ecofisiologia da Prod Forrageira</t>
  </si>
  <si>
    <t>Energia Alternativa</t>
  </si>
  <si>
    <t>Fisiologia e Tecnologia Pós Colheita</t>
  </si>
  <si>
    <t>Fitossanidade</t>
  </si>
  <si>
    <t>Floricultura</t>
  </si>
  <si>
    <t>Fruticultura de Clima Temperado</t>
  </si>
  <si>
    <t>Fundamentos dos Sistemas  de Manejo de Plantas de Lavoura</t>
  </si>
  <si>
    <t>Manejo do Solo</t>
  </si>
  <si>
    <t>Nutrição de Plantas em Cultivos Protegidos</t>
  </si>
  <si>
    <t>Paisagismo e Jardinagem</t>
  </si>
  <si>
    <t>Propagação de Frutíferas</t>
  </si>
  <si>
    <t>Rizobiologia</t>
  </si>
  <si>
    <t>Sementes e Viveiros Florestais</t>
  </si>
  <si>
    <t>Sistemas de Irrigação</t>
  </si>
  <si>
    <t>Técnologia de Frutas e Hortaliças</t>
  </si>
  <si>
    <t>Ecologia Básica</t>
  </si>
  <si>
    <t>Geometria Analítica e Álgebra Linear</t>
  </si>
  <si>
    <t>Introdução à Engenharia Florestal</t>
  </si>
  <si>
    <t>Zoologia e Parasitologia Geral</t>
  </si>
  <si>
    <t>Cálculo</t>
  </si>
  <si>
    <t xml:space="preserve">Estatística Básica </t>
  </si>
  <si>
    <t>Expressão Gráfica</t>
  </si>
  <si>
    <t>Anatomia e Identificação da Madeira</t>
  </si>
  <si>
    <t>Entomologia Florestal</t>
  </si>
  <si>
    <t>Experimentação Florestal</t>
  </si>
  <si>
    <t xml:space="preserve">Metodologia Científica </t>
  </si>
  <si>
    <t>Microbiologia Florestal</t>
  </si>
  <si>
    <t>Química da Madeira</t>
  </si>
  <si>
    <t>Dendrometria</t>
  </si>
  <si>
    <t>Ecologia Florestal</t>
  </si>
  <si>
    <t>Fitopatologia Florestal</t>
  </si>
  <si>
    <t>Manejo e Conservação do Solo</t>
  </si>
  <si>
    <t>Propriedades Físicas e Mecânicas da Madeira</t>
  </si>
  <si>
    <t>Sementes Floretais</t>
  </si>
  <si>
    <t>Viveiros Florestais</t>
  </si>
  <si>
    <t>Tecnologia da Madeira</t>
  </si>
  <si>
    <t>Crescimento e Produção Florestal</t>
  </si>
  <si>
    <t>Levantamento Geodésicos I</t>
  </si>
  <si>
    <t>Política e Legislação Florestal</t>
  </si>
  <si>
    <t>Hidrologia e Hidráulica</t>
  </si>
  <si>
    <t>Inventário Florestal</t>
  </si>
  <si>
    <t>Melhoramento Florestal</t>
  </si>
  <si>
    <t>Proteção Florestal</t>
  </si>
  <si>
    <t>Colheita Florestal</t>
  </si>
  <si>
    <t>Construções  Florestais</t>
  </si>
  <si>
    <t>Energia de Biomassa Florestal</t>
  </si>
  <si>
    <t>Economia e Recursos Florestais</t>
  </si>
  <si>
    <t>Implantação e Cond. De Povoam. Florestal</t>
  </si>
  <si>
    <t>Incêndios Florestais</t>
  </si>
  <si>
    <t>Sistemas de Informações Geográficas</t>
  </si>
  <si>
    <t>Manejo Florestal</t>
  </si>
  <si>
    <t>Sistemas Agro Florestais</t>
  </si>
  <si>
    <t>Sistemas e Métodos Silviculturais</t>
  </si>
  <si>
    <t>Vias e Transporte Florestal</t>
  </si>
  <si>
    <t>Avaliação e Perícia Florestal</t>
  </si>
  <si>
    <t>Estrutura de Madeiras</t>
  </si>
  <si>
    <t>Gestão Florestal</t>
  </si>
  <si>
    <t>Práticas Florestais Integradas</t>
  </si>
  <si>
    <t>Adubação em florestas e Gestão Res. Rural e Urbana</t>
  </si>
  <si>
    <t>Água no Ambiente e Planejamento do uso do solo</t>
  </si>
  <si>
    <t>Ajustamento de Observações</t>
  </si>
  <si>
    <t>Análise de Sementes Florestais</t>
  </si>
  <si>
    <t>Arborização Urbana</t>
  </si>
  <si>
    <t>Avaliação de Biomassa e Carbono em Florestas</t>
  </si>
  <si>
    <t>Biodegradação e Preservação da Madeira</t>
  </si>
  <si>
    <t>Biologia da Conservação</t>
  </si>
  <si>
    <t>Celulose e Papel</t>
  </si>
  <si>
    <t>Classificação e Levantamento de Solos</t>
  </si>
  <si>
    <t>Controle Biológico de Pragas</t>
  </si>
  <si>
    <t>Dendocronologia Aplicado ao Manejo Florestal</t>
  </si>
  <si>
    <t>Ecologia de Campo</t>
  </si>
  <si>
    <t>Ecologia de Ecossistema Fragmentados</t>
  </si>
  <si>
    <t>Ecologia Evolutiva de Plantas</t>
  </si>
  <si>
    <t>Ergonomia Em Operações Florestais</t>
  </si>
  <si>
    <t>Gerenc. De Operações Florestais</t>
  </si>
  <si>
    <t>Inventário em Florestas Naturais</t>
  </si>
  <si>
    <t>Legislação Ambiental</t>
  </si>
  <si>
    <t>Levantamentos Geodésicos II</t>
  </si>
  <si>
    <t>Metais Pesados em Solos e Sist.Aquáticos</t>
  </si>
  <si>
    <t>Poluição e Rec. Áreas Degradadas</t>
  </si>
  <si>
    <t>Preservação e Secagem da Madeira</t>
  </si>
  <si>
    <t>Produtos Florestais não Madeireiros</t>
  </si>
  <si>
    <t>Propagação Vegetativa de Espécies Florestais</t>
  </si>
  <si>
    <t>Recuperação de Áreas Degradadas</t>
  </si>
  <si>
    <t>Secagem da Madeira</t>
  </si>
  <si>
    <t>Segurança no Trabalho</t>
  </si>
  <si>
    <t>Sensoriamento Remoto I</t>
  </si>
  <si>
    <t>Sensoriamento Remoto II</t>
  </si>
  <si>
    <t>Silvicultura Aplicada</t>
  </si>
  <si>
    <t>Uso do Solo em Base Conservacionista</t>
  </si>
  <si>
    <t>Anatomia I</t>
  </si>
  <si>
    <t>Bioquímica de Biomoléculas</t>
  </si>
  <si>
    <t>Deontologia</t>
  </si>
  <si>
    <t>Histologia Geral</t>
  </si>
  <si>
    <t>Anatomia II</t>
  </si>
  <si>
    <t>Bioquímica Metabólica</t>
  </si>
  <si>
    <t>Ecologia</t>
  </si>
  <si>
    <t>Experimentação Animal</t>
  </si>
  <si>
    <t>Histologia e Embriologia</t>
  </si>
  <si>
    <t>Anatomia Topográfica</t>
  </si>
  <si>
    <t>Fisiologia I</t>
  </si>
  <si>
    <t>Imunologia</t>
  </si>
  <si>
    <t>Microbiologia Geral</t>
  </si>
  <si>
    <t>Parasitologia I</t>
  </si>
  <si>
    <t>Sociologia Aplicada a Med  Veterinária</t>
  </si>
  <si>
    <t>Economia e Administração</t>
  </si>
  <si>
    <t>Epidemiologia</t>
  </si>
  <si>
    <t>Farmacologia Geral</t>
  </si>
  <si>
    <t>Fisiologia II</t>
  </si>
  <si>
    <t>Microbiologia Especial</t>
  </si>
  <si>
    <t>Parasitologia II</t>
  </si>
  <si>
    <t>Farmacodinâmica</t>
  </si>
  <si>
    <t>Patologia Clínica Veterinária</t>
  </si>
  <si>
    <t>Patologia Geral</t>
  </si>
  <si>
    <t>Semiologia</t>
  </si>
  <si>
    <t>Clínica Médica de Ruminantes</t>
  </si>
  <si>
    <t>Doenças Parasitárias</t>
  </si>
  <si>
    <t>Doenças Infectocontagiosas</t>
  </si>
  <si>
    <t>Patologia Especial</t>
  </si>
  <si>
    <t>Terapêutica</t>
  </si>
  <si>
    <t>Anestesiologia</t>
  </si>
  <si>
    <t>Clínica Médica de Cães e Gatos I</t>
  </si>
  <si>
    <t xml:space="preserve">Diagnostico por Imagem </t>
  </si>
  <si>
    <t>Fisiopatologia da Reprodução I</t>
  </si>
  <si>
    <t>Saúde Pública Veterinária</t>
  </si>
  <si>
    <t>Clínica Médica de Equínos</t>
  </si>
  <si>
    <t xml:space="preserve">Sanidade Suína </t>
  </si>
  <si>
    <t>Clínica Médica de Cães e Gatos II</t>
  </si>
  <si>
    <t>Doenças das Aves</t>
  </si>
  <si>
    <t>Fisiopatologia da Reprodução II</t>
  </si>
  <si>
    <t>Insp e Tec de Prod de Origem Animal II</t>
  </si>
  <si>
    <t>Obstetrícia</t>
  </si>
  <si>
    <t>Toxicologia e Plantas  Tóxicas</t>
  </si>
  <si>
    <t>Administração e planejamento agropecuário</t>
  </si>
  <si>
    <t>Análise de Alimentos para Animais</t>
  </si>
  <si>
    <t>Anatomia  das Aves</t>
  </si>
  <si>
    <t>Agentes Virais de Caninos e Felinos</t>
  </si>
  <si>
    <t>Animais Peçonhentos e Venenosos de Interesse em Medicina Veterinária</t>
  </si>
  <si>
    <t>Cardiologia de Cães e Gatos</t>
  </si>
  <si>
    <t>Cinofilia e Felinotecnia</t>
  </si>
  <si>
    <t>Citologia Diagnóstica</t>
  </si>
  <si>
    <t>Criação de Aves de Interesse Zootécnico</t>
  </si>
  <si>
    <t>Dermatologia Veterinária</t>
  </si>
  <si>
    <t>Fisiatria Veterinária</t>
  </si>
  <si>
    <t>Genética Médica Veterinária</t>
  </si>
  <si>
    <t>Gerenciamento e Produção de Bovinos de Leite</t>
  </si>
  <si>
    <t>Inseminação Artificial e Andrologia</t>
  </si>
  <si>
    <t>Medicina de Animais Silvestres</t>
  </si>
  <si>
    <t>Microbiologia Prod. Origem Animal</t>
  </si>
  <si>
    <t>Oftalmologia Veterinária</t>
  </si>
  <si>
    <t>Patologia Equina e Podologia</t>
  </si>
  <si>
    <t>Patologia Ovina</t>
  </si>
  <si>
    <t>Resíduos Agrícolas, Urbanos e Industriais</t>
  </si>
  <si>
    <t>Teriogenologia Canina</t>
  </si>
  <si>
    <t>Optativa</t>
  </si>
  <si>
    <t>Eletiva</t>
  </si>
  <si>
    <t>1ª</t>
  </si>
  <si>
    <t>2ª</t>
  </si>
  <si>
    <t>3ª</t>
  </si>
  <si>
    <t>4ª</t>
  </si>
  <si>
    <t>5ª</t>
  </si>
  <si>
    <t>6ª</t>
  </si>
  <si>
    <t>7ª</t>
  </si>
  <si>
    <t>8ª</t>
  </si>
  <si>
    <t>9ª</t>
  </si>
  <si>
    <t>Técnica  Cirúrgica</t>
  </si>
  <si>
    <t>Insp e Tec de Produção de Origem Animal I</t>
  </si>
  <si>
    <t>Patologia e Clínica Cirúrgica</t>
  </si>
  <si>
    <t>Informe a CH Pedagógica</t>
  </si>
  <si>
    <t>Nome do Professor (a)</t>
  </si>
  <si>
    <t>Matrícula</t>
  </si>
  <si>
    <t>Titulação
(D, M, E, G)</t>
  </si>
  <si>
    <t>Regime de Trabalho
(10, 20, 30 ou 40h)</t>
  </si>
  <si>
    <t>DI</t>
  </si>
  <si>
    <t>Aike Anneliese Kretzschmar</t>
  </si>
  <si>
    <t>264640-4-02</t>
  </si>
  <si>
    <t>Altamir Frederico Guidolin</t>
  </si>
  <si>
    <t>294263-1-01</t>
  </si>
  <si>
    <t>André Aníbal Brandt</t>
  </si>
  <si>
    <t>656744-4-01</t>
  </si>
  <si>
    <t>699680-9-01</t>
  </si>
  <si>
    <t>301574-2-01</t>
  </si>
  <si>
    <t>250311-5-01</t>
  </si>
  <si>
    <t>Célio Orli Cardoso</t>
  </si>
  <si>
    <t>260502-3-02</t>
  </si>
  <si>
    <t>304028-3-02</t>
  </si>
  <si>
    <t>Claúdio Roberto Franco</t>
  </si>
  <si>
    <t>395367-0-01</t>
  </si>
  <si>
    <t>370365-7-01</t>
  </si>
  <si>
    <t>Cristiano André Steffens</t>
  </si>
  <si>
    <t>375508-8-01</t>
  </si>
  <si>
    <t>963435-5-01</t>
  </si>
  <si>
    <t>Germano Güttler</t>
  </si>
  <si>
    <t>264641-2-03</t>
  </si>
  <si>
    <t>Jefferson Luís Meirelles Coimbra</t>
  </si>
  <si>
    <t>374599-6-01</t>
  </si>
  <si>
    <t>Leo Rufato</t>
  </si>
  <si>
    <t>370367-3-01</t>
  </si>
  <si>
    <t>Luís Sangoi</t>
  </si>
  <si>
    <t>237396-3-01</t>
  </si>
  <si>
    <t>Mari Inês Carissimi Boff</t>
  </si>
  <si>
    <t>281799-3-01</t>
  </si>
  <si>
    <t>Olívo José Soccol</t>
  </si>
  <si>
    <t>238503-1-01</t>
  </si>
  <si>
    <t>Ricardo Trezzi Casa</t>
  </si>
  <si>
    <t>352262-8-01</t>
  </si>
  <si>
    <t>Afastado até 29/07/2022</t>
  </si>
  <si>
    <t>Afastamento</t>
  </si>
  <si>
    <t>Categoria Funcional</t>
  </si>
  <si>
    <t>Daniele Nerling</t>
  </si>
  <si>
    <t>0986926-3-03</t>
  </si>
  <si>
    <t>0390269-2-04</t>
  </si>
  <si>
    <t>0965672-3-02</t>
  </si>
  <si>
    <t>965868-8-02</t>
  </si>
  <si>
    <t>02 h/ativ.</t>
  </si>
  <si>
    <t>14 h/ativ.</t>
  </si>
  <si>
    <t>08 h/ativ.</t>
  </si>
  <si>
    <t>Substituto</t>
  </si>
  <si>
    <t>Horista</t>
  </si>
  <si>
    <t>Carlos Tasior Leão</t>
  </si>
  <si>
    <t>978934-0-02</t>
  </si>
  <si>
    <t>Cláudia Guimarães Camargo Campos</t>
  </si>
  <si>
    <t>958001-8-01</t>
  </si>
  <si>
    <t>658038-6-03</t>
  </si>
  <si>
    <t>Licença Maternidade</t>
  </si>
  <si>
    <t>Eduardo Bello Rodrigues</t>
  </si>
  <si>
    <t>962954-8-01</t>
  </si>
  <si>
    <t>Everton Skoronski</t>
  </si>
  <si>
    <t>664129-6-01</t>
  </si>
  <si>
    <t>Flávio José Simioni</t>
  </si>
  <si>
    <t>308857-0-03</t>
  </si>
  <si>
    <t>Gilmar Conte</t>
  </si>
  <si>
    <t>312138-0-02</t>
  </si>
  <si>
    <t>Indianara Fernanda Barcarolli</t>
  </si>
  <si>
    <t>957209-0-01</t>
  </si>
  <si>
    <t>962791-0-01</t>
  </si>
  <si>
    <t>395204-5-01</t>
  </si>
  <si>
    <t>Juliana Ferreira Soares</t>
  </si>
  <si>
    <t>613562-5-01</t>
  </si>
  <si>
    <t>Leonardo Josoé Biffi</t>
  </si>
  <si>
    <t>380995-1-02</t>
  </si>
  <si>
    <t>0954943-9-01</t>
  </si>
  <si>
    <t>Sílvio Luis Rafaeli Neto</t>
  </si>
  <si>
    <t>238504-0-01</t>
  </si>
  <si>
    <t>Valter Antonio Becegato</t>
  </si>
  <si>
    <t>250313-1-01</t>
  </si>
  <si>
    <t>Viviane Aparecida Spinelli Schein</t>
  </si>
  <si>
    <t>327594-9-02</t>
  </si>
  <si>
    <t>664088-5-01</t>
  </si>
  <si>
    <t>0378686-2-03</t>
  </si>
  <si>
    <t>0961089-8-04</t>
  </si>
  <si>
    <t>05 h/ativ.</t>
  </si>
  <si>
    <t>0983006-5-02</t>
  </si>
  <si>
    <t>975472-5-03</t>
  </si>
  <si>
    <t>10 h/ativ.</t>
  </si>
  <si>
    <t>0976519-0-03</t>
  </si>
  <si>
    <t>12 h/ativ.</t>
  </si>
  <si>
    <t xml:space="preserve">09h/ativ. </t>
  </si>
  <si>
    <t>40 horas</t>
  </si>
  <si>
    <t>Adelar Mantovani</t>
  </si>
  <si>
    <t>André Felipe Hess</t>
  </si>
  <si>
    <t>Geedre Adriano Borsoi</t>
  </si>
  <si>
    <t>Jean Alberto Sampietro</t>
  </si>
  <si>
    <t>João Fert Neto</t>
  </si>
  <si>
    <t>Marcio Carlos Navroski</t>
  </si>
  <si>
    <t>Marcos Benedito Schimalski</t>
  </si>
  <si>
    <t>Marcos Felipe Nicoletti</t>
  </si>
  <si>
    <t>Maria Raquel Kanieski</t>
  </si>
  <si>
    <t>Martha Andreia Brand</t>
  </si>
  <si>
    <t>Pedro Higuchi</t>
  </si>
  <si>
    <t>Philipe Ricardo Casemiro Soares</t>
  </si>
  <si>
    <t>Polliana D'Angelo Rios</t>
  </si>
  <si>
    <t>Thiago Floriani Stepka</t>
  </si>
  <si>
    <t>Veraldo Liesenberg</t>
  </si>
  <si>
    <t>370349-5-01</t>
  </si>
  <si>
    <t>251102-9-01</t>
  </si>
  <si>
    <t>382323-7-01</t>
  </si>
  <si>
    <t>387770-1-01</t>
  </si>
  <si>
    <t>385788-3-01</t>
  </si>
  <si>
    <t>395372-6-02</t>
  </si>
  <si>
    <t>665036-8-01</t>
  </si>
  <si>
    <t>958275-4-01</t>
  </si>
  <si>
    <t>238221-0-01</t>
  </si>
  <si>
    <t>381985-0-01</t>
  </si>
  <si>
    <t>955115-8-01</t>
  </si>
  <si>
    <t>662211-9-01</t>
  </si>
  <si>
    <t>660918-0-02</t>
  </si>
  <si>
    <t>670759-9-02</t>
  </si>
  <si>
    <t>272281-0-02</t>
  </si>
  <si>
    <t>382002-5-01</t>
  </si>
  <si>
    <t>954951-0-01</t>
  </si>
  <si>
    <t>666994-8-01</t>
  </si>
  <si>
    <t>395387-4-02</t>
  </si>
  <si>
    <t>370343-6-01</t>
  </si>
  <si>
    <t>972706-0-01</t>
  </si>
  <si>
    <t>958798-5-02</t>
  </si>
  <si>
    <t>324545-4-02</t>
  </si>
  <si>
    <t>0967927-8-03</t>
  </si>
  <si>
    <t>963091-0-02</t>
  </si>
  <si>
    <t>0621951-9-01</t>
  </si>
  <si>
    <t>0338885-9-06</t>
  </si>
  <si>
    <t>13 h/ativ.</t>
  </si>
  <si>
    <t>18 h/ativ.</t>
  </si>
  <si>
    <t>337975-2-02</t>
  </si>
  <si>
    <t>967457-8-02</t>
  </si>
  <si>
    <t>238097-8-01</t>
  </si>
  <si>
    <t>237289-4-01</t>
  </si>
  <si>
    <t>972704-3-01</t>
  </si>
  <si>
    <t>346440-7-02</t>
  </si>
  <si>
    <t>370366-5-01</t>
  </si>
  <si>
    <t>699683-3-01</t>
  </si>
  <si>
    <t>237057-3-01</t>
  </si>
  <si>
    <t>293692-5-01</t>
  </si>
  <si>
    <t>346469-5-02</t>
  </si>
  <si>
    <t>656598-0-01</t>
  </si>
  <si>
    <t>238217-2-01</t>
  </si>
  <si>
    <t>374603-8-01</t>
  </si>
  <si>
    <t>956526-4-01</t>
  </si>
  <si>
    <t>375510-0-01</t>
  </si>
  <si>
    <t>343466-4-02</t>
  </si>
  <si>
    <t>389126-7-02</t>
  </si>
  <si>
    <t>365085-5-02</t>
  </si>
  <si>
    <t>362921-0-01</t>
  </si>
  <si>
    <t>364404-9-01</t>
  </si>
  <si>
    <t>965308-2-03</t>
  </si>
  <si>
    <t>0634203-5-01</t>
  </si>
  <si>
    <t>660920-1-04</t>
  </si>
  <si>
    <t>0965518-2-03</t>
  </si>
  <si>
    <t>607165-1-01</t>
  </si>
  <si>
    <t>965330-9-03</t>
  </si>
  <si>
    <t>368362-1-03</t>
  </si>
  <si>
    <t>0958892-2-05</t>
  </si>
  <si>
    <t>0961685-3-03</t>
  </si>
  <si>
    <t>968655-0-05</t>
  </si>
  <si>
    <t>606442-6-01</t>
  </si>
  <si>
    <t>958895-7-03</t>
  </si>
  <si>
    <t>0689040-7-03</t>
  </si>
  <si>
    <t>971654-8-02</t>
  </si>
  <si>
    <t>20 h/ativ.</t>
  </si>
  <si>
    <t xml:space="preserve">17h/ativ. </t>
  </si>
  <si>
    <t>10 h/Ativ.</t>
  </si>
  <si>
    <t xml:space="preserve"> 16 h/ativ.</t>
  </si>
  <si>
    <t>11 h/Ativ.</t>
  </si>
  <si>
    <t>20 h/Ativ.</t>
  </si>
  <si>
    <t>08 h/Ativ.</t>
  </si>
  <si>
    <t>18 h/Ativ.</t>
  </si>
  <si>
    <t>12 h/Ativ.</t>
  </si>
  <si>
    <t>09 h/Ativ.</t>
  </si>
  <si>
    <t xml:space="preserve">André Fischer Sbrissia </t>
  </si>
  <si>
    <t xml:space="preserve">André Thaler Neto </t>
  </si>
  <si>
    <t>Carla Ivane  Ganz Vogel</t>
  </si>
  <si>
    <t xml:space="preserve">Clóvis Eliseu Gewehr </t>
  </si>
  <si>
    <t>Cristiane Velho Pellizzaro</t>
  </si>
  <si>
    <t>Henrique Mendonça N. R. Filho</t>
  </si>
  <si>
    <t>José Cristani</t>
  </si>
  <si>
    <t>Luiz Cláudio Miletti</t>
  </si>
  <si>
    <t>Nilson Broring</t>
  </si>
  <si>
    <t>Thiago El Hadi Perez Fabregat</t>
  </si>
  <si>
    <t>Lidia Cristina Almeida Picinin</t>
  </si>
  <si>
    <t>Está na SEA até 31/12/2022</t>
  </si>
  <si>
    <t>370440-8-01</t>
  </si>
  <si>
    <t>254638-8-01</t>
  </si>
  <si>
    <t>298735-0-03</t>
  </si>
  <si>
    <t>364868-0-02</t>
  </si>
  <si>
    <t>238545-7-01</t>
  </si>
  <si>
    <t>376401-0-01</t>
  </si>
  <si>
    <t>294268-2-01</t>
  </si>
  <si>
    <t>302218-8-02</t>
  </si>
  <si>
    <t>374690-9-01</t>
  </si>
  <si>
    <t>364834-6-02</t>
  </si>
  <si>
    <t>955114-0-01</t>
  </si>
  <si>
    <t>322487-2-01</t>
  </si>
  <si>
    <t>656664-2-01</t>
  </si>
  <si>
    <t>965792-4-03</t>
  </si>
  <si>
    <t>965776-2-03</t>
  </si>
  <si>
    <t>0613213-8-01</t>
  </si>
  <si>
    <t>0640560-6-01</t>
  </si>
  <si>
    <t>0628699-2-01</t>
  </si>
  <si>
    <t>06 h/ativ.</t>
  </si>
  <si>
    <t>17 h/ativ.</t>
  </si>
  <si>
    <t>Álvaro Luis Mafra</t>
  </si>
  <si>
    <t>David José Miquelutti</t>
  </si>
  <si>
    <t>Ildegardis Bertol</t>
  </si>
  <si>
    <t xml:space="preserve">Jackson Adriano Albuquerque </t>
  </si>
  <si>
    <t xml:space="preserve">Leticia Sequinatto  </t>
  </si>
  <si>
    <t xml:space="preserve">Marcelo Alves Moreira </t>
  </si>
  <si>
    <t>Mari Lucia Campos</t>
  </si>
  <si>
    <t xml:space="preserve">Osmar Klauberg Filho </t>
  </si>
  <si>
    <t>Paulo Roberto Ernani</t>
  </si>
  <si>
    <t>Rogério Laus</t>
  </si>
  <si>
    <t>346473-3-01</t>
  </si>
  <si>
    <t>238144-3-01</t>
  </si>
  <si>
    <t>236240-6-01</t>
  </si>
  <si>
    <t>310490-7-01</t>
  </si>
  <si>
    <t>237401-3-01</t>
  </si>
  <si>
    <t>662017-5-01</t>
  </si>
  <si>
    <t>318538-9-02</t>
  </si>
  <si>
    <t>331088-4-03</t>
  </si>
  <si>
    <t>288893-9-02</t>
  </si>
  <si>
    <t>237878-7-01</t>
  </si>
  <si>
    <t>236084-5-01</t>
  </si>
  <si>
    <t>667209-4-01</t>
  </si>
  <si>
    <t>Atribuição Exercício</t>
  </si>
  <si>
    <t>0626197-3-02</t>
  </si>
  <si>
    <t>Coluna1</t>
  </si>
  <si>
    <t>Pesquisar</t>
  </si>
  <si>
    <t>Apicultura (Agro)</t>
  </si>
  <si>
    <t>Apicultura (EFL)</t>
  </si>
  <si>
    <t>Apicultura (VET)</t>
  </si>
  <si>
    <t>Aquacultura (Agro)</t>
  </si>
  <si>
    <t>Aquacultura (EFL)</t>
  </si>
  <si>
    <t>Aquacultura (VET)</t>
  </si>
  <si>
    <t>Avicultura (AGRO)</t>
  </si>
  <si>
    <t>Avicultura (VET)</t>
  </si>
  <si>
    <t>Biologia Molecular (AGRO)</t>
  </si>
  <si>
    <t>Biologia Molecular (EFL)</t>
  </si>
  <si>
    <t>Biologia Molecular (VET)</t>
  </si>
  <si>
    <t>Bioquímica (EAS)</t>
  </si>
  <si>
    <t>Bioquímica (EFL)</t>
  </si>
  <si>
    <t>Botânica Sistemática (AGRO)</t>
  </si>
  <si>
    <t>Botânica Sistemática (EFL)</t>
  </si>
  <si>
    <t>Bovinocultura de Corte (AGRO)</t>
  </si>
  <si>
    <t>Bovinocultura de Corte (VET)</t>
  </si>
  <si>
    <t>Bovinocultura de Leite (Agro)</t>
  </si>
  <si>
    <t>Bovinocultura de Leite (VET)</t>
  </si>
  <si>
    <t>Ciência do Solo (AGRO)</t>
  </si>
  <si>
    <t>Ciência do Solo (EFL)</t>
  </si>
  <si>
    <t>Comportamento e bem estar animal (Agro)</t>
  </si>
  <si>
    <t>Comportamento e bem estar animal (VET)</t>
  </si>
  <si>
    <t>Computação Aplicada (AGRO)</t>
  </si>
  <si>
    <t>Computação Aplicada (EFL)</t>
  </si>
  <si>
    <t>Comunicação Extensão Rural (AGRO)</t>
  </si>
  <si>
    <t>Comunicação Extensão Rural (EFL)</t>
  </si>
  <si>
    <t>Comunicação Extensão Rural (VET)</t>
  </si>
  <si>
    <t>Cooperativismo Com. e Crédito Rural (Agro)</t>
  </si>
  <si>
    <t>Cooperativismo Com. e Crédito Rural (VET)</t>
  </si>
  <si>
    <t>Cunicultura (AGRO)</t>
  </si>
  <si>
    <t>Cunicultura (VET)</t>
  </si>
  <si>
    <t>Dendrologia (Agro)</t>
  </si>
  <si>
    <t>Dendrologia (EFL)</t>
  </si>
  <si>
    <t>Desenho Técnico (EAS)</t>
  </si>
  <si>
    <t>Desenho Técnico (Agro)</t>
  </si>
  <si>
    <t>Empreendedorismo (EFL)</t>
  </si>
  <si>
    <t>Empreendedorismo  (EAS)</t>
  </si>
  <si>
    <t>Epistemologia e Metodologia Científica (Agro)</t>
  </si>
  <si>
    <t>Epistemologia e Metodologia Científica (VET)</t>
  </si>
  <si>
    <t>Equinocultura (Agro)</t>
  </si>
  <si>
    <t>Equinocultura (Vet)</t>
  </si>
  <si>
    <t>Estatística (EAS)</t>
  </si>
  <si>
    <t>Estatística (Agro)</t>
  </si>
  <si>
    <t>Estatística (VET)</t>
  </si>
  <si>
    <t>Fertilidade do Solo (Agro)</t>
  </si>
  <si>
    <t>Fertilidade do Solo (VET)</t>
  </si>
  <si>
    <t>Física (Agro)</t>
  </si>
  <si>
    <t>Física (EFL)</t>
  </si>
  <si>
    <t>Fisiologia Vegetal (Agro)</t>
  </si>
  <si>
    <t>Fisiologia Vegetal (EFL)</t>
  </si>
  <si>
    <t>Forragicultura (Agro)</t>
  </si>
  <si>
    <t>Forragicultura (Vet)</t>
  </si>
  <si>
    <t>Fotointerpretação e Fotogrametria (EFL)</t>
  </si>
  <si>
    <t>Gênese e Classificação do Solo (Agro)</t>
  </si>
  <si>
    <t>Gênese e Classificação do Solo (EFL)</t>
  </si>
  <si>
    <t>Genética (Agro)</t>
  </si>
  <si>
    <t>Genética (EFL)</t>
  </si>
  <si>
    <t>Genética (VET)</t>
  </si>
  <si>
    <t>Geomática Aplicada (EAS)</t>
  </si>
  <si>
    <t>Geomática Aplicada (Agro)</t>
  </si>
  <si>
    <t>Gerenciamento e Produção Avícola (Agro)</t>
  </si>
  <si>
    <t>Gerenciamento e Produção Avícola (VET)</t>
  </si>
  <si>
    <t>Gerenciamento e Produção de Suínos (Agro)</t>
  </si>
  <si>
    <t>Gerenciamento e Produção de Suínos (VET)</t>
  </si>
  <si>
    <t>Hidrologia (EAS)</t>
  </si>
  <si>
    <t>Hidrologia (Agro)</t>
  </si>
  <si>
    <t>Lacticínios (Agro)</t>
  </si>
  <si>
    <t>Lacticínios (VET)</t>
  </si>
  <si>
    <t>Manejo de Áreas Silvestres (Agro)</t>
  </si>
  <si>
    <t>Manejo de Áreas Silvestres (EFL)</t>
  </si>
  <si>
    <t>Manejo de Áreas Silvestres (VET)</t>
  </si>
  <si>
    <t>Manejo de Bacias Hidrográficas (Agro)</t>
  </si>
  <si>
    <t>Manejo de Bacias Hidrográficas (EFL)</t>
  </si>
  <si>
    <t>Manejo de Fauna Silvestre (EFL)</t>
  </si>
  <si>
    <t>Manejo de Fauna Silvestre (VET)</t>
  </si>
  <si>
    <t>Mecânica, Motores e Tratores Agrícolas (Agro)</t>
  </si>
  <si>
    <t>Mecânica, Motores e Tratores Agrícolas (EFL)</t>
  </si>
  <si>
    <t>Melhoramento Animal (Agro)</t>
  </si>
  <si>
    <t>Melhoramento Animal (VET)</t>
  </si>
  <si>
    <t>Meteorologia e Climatologia (EAS)</t>
  </si>
  <si>
    <t>Meteorologia e Climatologia (Agro)</t>
  </si>
  <si>
    <t>Meteorologia e Climatologia (EFL)</t>
  </si>
  <si>
    <t>Morfologia Vegetal (Agro)</t>
  </si>
  <si>
    <t>Morfologia Vegetal (EFL)</t>
  </si>
  <si>
    <t>Nutrição Animal (Agro)</t>
  </si>
  <si>
    <t>Nutrição Animal (VET)</t>
  </si>
  <si>
    <t>Nutrição de Ruminantes (Agro)</t>
  </si>
  <si>
    <t>Nutrição de Ruminantes (VET)</t>
  </si>
  <si>
    <t>Ovinocultura (Agro)</t>
  </si>
  <si>
    <t>Ovinocultura (VET)</t>
  </si>
  <si>
    <t>Piscicultura (Agro)</t>
  </si>
  <si>
    <t>Piscicultura (VET)</t>
  </si>
  <si>
    <t>Química Analítica (EAS)</t>
  </si>
  <si>
    <t>Química Analítica (Agro)</t>
  </si>
  <si>
    <t>Química Analítica (EFL)</t>
  </si>
  <si>
    <t>Química Geral e Orgânica (Agro)</t>
  </si>
  <si>
    <t>Química Geral e Orgânica (EFL)</t>
  </si>
  <si>
    <t>Recuperação de Ecoss. Flor. Degradados (Agro)</t>
  </si>
  <si>
    <t>Recuperação de Ecoss. Flor. Degradados (EFL)</t>
  </si>
  <si>
    <t>Resíduos Agric Urb. E Ind. (Agro)</t>
  </si>
  <si>
    <t>Resíduos Agric Urb. E Ind. (EFL)</t>
  </si>
  <si>
    <t>Sistemas de Prod e Prat de Manejo em Ovinos (Agro)</t>
  </si>
  <si>
    <t>Sistemas de Prod e Prat de Manejo em Ovinos (VET)</t>
  </si>
  <si>
    <t>Sistemas de Produção em Bovino de Corte (Agro)</t>
  </si>
  <si>
    <t>Sistemas de Produção em Bovino de Corte (VET)</t>
  </si>
  <si>
    <t>Sociologia Ambiental (EAS)</t>
  </si>
  <si>
    <t>Sociologia Ambiental (Agro)</t>
  </si>
  <si>
    <t>Sociologia Geral (Agro)</t>
  </si>
  <si>
    <t>Sociologia Geral (EFL)</t>
  </si>
  <si>
    <t>Sociologia Rural (Agro)</t>
  </si>
  <si>
    <t>Sociologia Rural (EFL)</t>
  </si>
  <si>
    <t>Suinocultura (Agro)</t>
  </si>
  <si>
    <t>Suinocultura (VET)</t>
  </si>
  <si>
    <t>Tecnologia para a Produção de Embriões Bovinos</t>
  </si>
  <si>
    <t>Tópicos em Bovinocultura de Leite (Agro)</t>
  </si>
  <si>
    <t>Tópicos em Bovinocultura de Leite (VET)</t>
  </si>
  <si>
    <t>Topografia (EAS)</t>
  </si>
  <si>
    <t>Topografia (EFL)</t>
  </si>
  <si>
    <t>Topografia (Agro)</t>
  </si>
  <si>
    <t>Toxicologia e Receituário Agronômico (Agro)</t>
  </si>
  <si>
    <t>Toxicologia e Receituário Agronômico (EFL)</t>
  </si>
  <si>
    <t>Coluna2</t>
  </si>
  <si>
    <t>Coluna3</t>
  </si>
  <si>
    <t>Coluna4</t>
  </si>
  <si>
    <t>Coluna5</t>
  </si>
  <si>
    <t>Coluna6</t>
  </si>
  <si>
    <t>Informe a C/H Semanal</t>
  </si>
  <si>
    <t>TOTAL</t>
  </si>
  <si>
    <t>TITULAR</t>
  </si>
  <si>
    <t>ADJUNTO</t>
  </si>
  <si>
    <t>ASSISTENTE</t>
  </si>
  <si>
    <t>ASSOCIADO</t>
  </si>
  <si>
    <t>DOCENTE SENIOR</t>
  </si>
  <si>
    <t>Bioquímica (Agro)</t>
  </si>
  <si>
    <t>Centro de Ciências Agroveterinárias (CAV)</t>
  </si>
  <si>
    <t>Favor informar o enquadramento ao lado</t>
  </si>
  <si>
    <t>PESQUISA</t>
  </si>
  <si>
    <t>Limite de horas Semanais</t>
  </si>
  <si>
    <t>Limite de horas Semanais = 20</t>
  </si>
  <si>
    <t>Limite de horas Semanais = 16</t>
  </si>
  <si>
    <t>Limite de horas Semanais = 14</t>
  </si>
  <si>
    <t>Limite de horas Semanais = 10</t>
  </si>
  <si>
    <t>Limite de horas Semanais = 06</t>
  </si>
  <si>
    <t>Horas</t>
  </si>
  <si>
    <t>1 - Pesquisador doutor bolsista de produtividade do CNPQ</t>
  </si>
  <si>
    <t>2 - Pesquisador doutor, membro do corpo docente permanente de curso stricto sensu da UDESC, recomendado pela CAPES;</t>
  </si>
  <si>
    <t>3 - Pesquisador doutor, coordenador de projeto de pesquisa com financiamento externo por orgão oficial de fomento científico, cultural e tecnológico</t>
  </si>
  <si>
    <t>4 - Pesquisador Doutor</t>
  </si>
  <si>
    <t>5 - Pesquisador Mestre</t>
  </si>
  <si>
    <t>XXIII. O Coordenador de Estágio de curso poderá alocar 25% (vinte e cinco por cento) da carga horária destinada ao Coordenador de Estágio Curricular do Centro, quando não for disponibilizado nenhum servidor técnico-administrativo no Setor de Estágio do Centro e, 15% (quinze por cento) quando for disponibilizado 01 (um) servidor técnico-administrativo. Para os cursos da área da Saúde, poderá ser alocado até 40% (quarenta por cento) das horas destinadas ao Coordenador de Estágios Curricular do Centro, desde que não seja disponibilizado nenhum servidor técnico-administrativo no Setor de Estágio do Centro. Caso for de interesse pela manutenção de um servidor técnico-administrativo, a alocação de horas obedecerá o mesmo critério utilizado para os demais cursos; (Incluído pela</t>
  </si>
  <si>
    <t>XXI Representante de Entidade a) 15 horas semanais, para cargo de presidente da entidade, para quando até 400 servidores filiados;</t>
  </si>
  <si>
    <t>XXI Representante de Entidade b) 20 horas semanais, para cargo de presidente da entidade, para quando de 401 a 1000 servidores filiados;</t>
  </si>
  <si>
    <t xml:space="preserve">XXI Representante de Entidade c) 30 horas semanais, para cargo de presidente da entidade, para quando acima de 1000 servidores filiados; </t>
  </si>
  <si>
    <t>Redutor carga horária de Ensino</t>
  </si>
  <si>
    <t>Redutor Calculo de Ensino</t>
  </si>
  <si>
    <t>Para permitir carga horaria menor de 9hs para Funões com mais de 32hs</t>
  </si>
  <si>
    <t>1 -Permite Alocar Carga Horária Mínima de 8 Créditos  de Ensino</t>
  </si>
  <si>
    <t>2 - Carga horária mínima de ensino à alocar = 12</t>
  </si>
  <si>
    <t>1 Sim</t>
  </si>
  <si>
    <t>2 Não</t>
  </si>
  <si>
    <t>Pesquisa 2</t>
  </si>
  <si>
    <t>CH Máxima</t>
  </si>
  <si>
    <t>Coordenador</t>
  </si>
  <si>
    <t>Coordenador/Participante</t>
  </si>
  <si>
    <t>Participante</t>
  </si>
  <si>
    <t>Programas</t>
  </si>
  <si>
    <t>Projetos Isolados</t>
  </si>
  <si>
    <t>Cursos</t>
  </si>
  <si>
    <t>Eventos</t>
  </si>
  <si>
    <t>Outros</t>
  </si>
  <si>
    <t>II. Docente que desenvolva atividades a serviço da Reitoria, designado por Portaria do Reitor;</t>
  </si>
  <si>
    <t>III. Coordenador de Estágio Curricular do Centro;</t>
  </si>
  <si>
    <t>IV. Coordenador de Programa de Pós-Graduação e Coordenador de Curso de Pós-Graduação stricto sensu;</t>
  </si>
  <si>
    <t>VII. Coordenador de Colegiado de Ensino de Graduação em departamento que tenha mais de um curso de graduação;</t>
  </si>
  <si>
    <t>VIII. Coordenador Técnico de Cursos Seqüenciais;</t>
  </si>
  <si>
    <t>IX. Coordenador de Laboratório Institucional;</t>
  </si>
  <si>
    <t>X. Coordenador de Programa Especial e Projeto Institucional;</t>
  </si>
  <si>
    <t>XI. Coordenador de Órgão Suplementar Setorial;</t>
  </si>
  <si>
    <t>XII. Membro de Comissao interna do Centro por Portaria da Direção Geral do Centro, aprovada pelo Conselho de Centro;</t>
  </si>
  <si>
    <t>XIII. Membro titular não nato nos Conselhos Superiores;</t>
  </si>
  <si>
    <t>XIV. Membro titular não nato de Comitê e Comissão de Ensino, Pesquisa e Extensão, Administração e Planejamento;</t>
  </si>
  <si>
    <t>XV. Membros titulares não natos do Colegiado de Ensino de Graduação ou Pós-Graduação;</t>
  </si>
  <si>
    <t>XVI. Representação da Universidade em órgãos externos, designados por Portaria do Reitor;</t>
  </si>
  <si>
    <t>XVII. Editor-Chefe de Revista da UDESC com Qualis da área;</t>
  </si>
  <si>
    <t>XVIII. Coordenadores de Programa PET;</t>
  </si>
  <si>
    <t>XIX. Coordenador de trabalhos de gestão científica e cultural;</t>
  </si>
  <si>
    <t>XX. Coordenador de Curso de Pós-Graduação lato sensu gratuito;</t>
  </si>
  <si>
    <t>XXII. Membro titular não nato do Núcleo Docente Estruturante - NDE;</t>
  </si>
  <si>
    <t>XXIV. Docente responsável pela organização dos Trabalhos de Conclusão do Curso;</t>
  </si>
  <si>
    <t>XXV. Membro titular não nato no Conselho de Centro;</t>
  </si>
  <si>
    <t>XXVI. Coordenador LOCAL de Programa de Pós-Graduação e Coordenador de Curso de Pós-Graduação stricto sensu em rede ou multicêntrico;</t>
  </si>
  <si>
    <t>Vice Reitor</t>
  </si>
  <si>
    <t>Pró-Reitor</t>
  </si>
  <si>
    <t>Diretor de Administração</t>
  </si>
  <si>
    <t>I. Reitor</t>
  </si>
  <si>
    <t>V. Chefe de Departamento carreirocêntrico;</t>
  </si>
  <si>
    <t>VI. Chefe de Departamento materiocêntrico;</t>
  </si>
  <si>
    <t>40 h</t>
  </si>
  <si>
    <t>Semestre de Ingresso/Fase</t>
  </si>
  <si>
    <t>Estágio</t>
  </si>
  <si>
    <t>Autorização/Ata</t>
  </si>
  <si>
    <t>Daiana Petry Rufato</t>
  </si>
  <si>
    <t>NOME DA DISCIPLINA</t>
  </si>
  <si>
    <t>PROGRAMA</t>
  </si>
  <si>
    <t>Auditoria Ambiental (Agro)</t>
  </si>
  <si>
    <t>Banco de Dados (Agro)</t>
  </si>
  <si>
    <t>Conforto Térm. Em Edif. Para Fins Rurais</t>
  </si>
  <si>
    <t>Estágio Curricular Supervisionado (Agro)</t>
  </si>
  <si>
    <t>10a</t>
  </si>
  <si>
    <t>Fitogeografia e Fitossociologia (Agro)</t>
  </si>
  <si>
    <t>Fotogrametria e Fotointerpretação (Agro)</t>
  </si>
  <si>
    <t>Fruticultura Tropical</t>
  </si>
  <si>
    <t>Genética Quantitativa (Agro)</t>
  </si>
  <si>
    <t>Geotecnologia de Ap. à Decisão Espacial</t>
  </si>
  <si>
    <t>Gestão Ambiental</t>
  </si>
  <si>
    <t>Inglês I</t>
  </si>
  <si>
    <t>Inglês II</t>
  </si>
  <si>
    <t>Inglês III</t>
  </si>
  <si>
    <t>Inglês IV</t>
  </si>
  <si>
    <t>Inic. À P. Ext. e Interdisciplinaridade</t>
  </si>
  <si>
    <t>Legislação Ambiental (Agro)</t>
  </si>
  <si>
    <t>Mecanização Agrícola</t>
  </si>
  <si>
    <t>Nutrição de Não Ruminantes (Agro)</t>
  </si>
  <si>
    <t>Prod.de Plantas, Med. Arom. e Condimentares</t>
  </si>
  <si>
    <t>Qualidade do Ar na Produção Animal</t>
  </si>
  <si>
    <t>Secagem e Armaz. de Grãos Alimentícios</t>
  </si>
  <si>
    <t>Banco de Dados (EAS)</t>
  </si>
  <si>
    <t>Ciência dos Materiais</t>
  </si>
  <si>
    <t>Estágio Curricular Supervisionado (EAS)</t>
  </si>
  <si>
    <t>Energias Alternativas Aplicadas</t>
  </si>
  <si>
    <t>Engenharia de Sedimentos</t>
  </si>
  <si>
    <t>Geofísica Ambiental</t>
  </si>
  <si>
    <t>10ª</t>
  </si>
  <si>
    <t>Geologia de Engenharia</t>
  </si>
  <si>
    <t>Hidráulica Ambiental</t>
  </si>
  <si>
    <t>Higiene e Vigilância Sanitária dos Alimentos</t>
  </si>
  <si>
    <t>Modelagem Numérica 3D e Análise Espacial</t>
  </si>
  <si>
    <t>Planejamento e Gestão de Recur. Hídricos</t>
  </si>
  <si>
    <t>Relações Étnico-Rac. Educ. Dir. Humanos</t>
  </si>
  <si>
    <t>Saneamento Ambiental</t>
  </si>
  <si>
    <t>Tópicos Especiais I (EAS)</t>
  </si>
  <si>
    <t>Tópicos Especiais II (EAS)</t>
  </si>
  <si>
    <t>Biotecnologia</t>
  </si>
  <si>
    <t>Estágio Curricular Supervisionado (EFL)</t>
  </si>
  <si>
    <t>Irrigação</t>
  </si>
  <si>
    <t>Libras (EFL)</t>
  </si>
  <si>
    <t>Modelagem de Povoamentos Florestais</t>
  </si>
  <si>
    <t>Painéis de Madeira</t>
  </si>
  <si>
    <t>Estágio Curricular Supervisionado (VET)</t>
  </si>
  <si>
    <t>Agroecologia (EFL)</t>
  </si>
  <si>
    <t>Agroecologia (Agro)</t>
  </si>
  <si>
    <t>Água no Sistema Solo Planta Atmosfera (Agro)</t>
  </si>
  <si>
    <t>Água no Sistema Solo Planta Atmosfera (EFL)</t>
  </si>
  <si>
    <t>Alimentos e Alimentação Animal (VET)</t>
  </si>
  <si>
    <t>Alimentos e Alimentação Animal (Agro)</t>
  </si>
  <si>
    <t>Análise de Sementes (Agro)</t>
  </si>
  <si>
    <t>Análise de Sementes (EFL)</t>
  </si>
  <si>
    <t>Auditoria Ambiental (EAS)</t>
  </si>
  <si>
    <t>Avaliação de Impactos Ambientais (Agro)</t>
  </si>
  <si>
    <t>Avaliação de Impactos Ambientais (EFL)</t>
  </si>
  <si>
    <t>Fitogeografia e Fitossociologia (EFL)</t>
  </si>
  <si>
    <t>Libras (EAS)</t>
  </si>
  <si>
    <t>Recursos Energéticos Sustentáveis</t>
  </si>
  <si>
    <t>Eletivas Conferidas. Todas</t>
  </si>
  <si>
    <t>Leonardo Mortari Machado</t>
  </si>
  <si>
    <t>0696461-3-02</t>
  </si>
  <si>
    <t>08h/Ativ</t>
  </si>
  <si>
    <t>0383717-3-03</t>
  </si>
  <si>
    <t>Pamela Moser</t>
  </si>
  <si>
    <t>0648338-0-01</t>
  </si>
  <si>
    <t>0966192-1-06</t>
  </si>
  <si>
    <t>10h/Ativ</t>
  </si>
  <si>
    <t>Informar</t>
  </si>
  <si>
    <t>Complemento</t>
  </si>
  <si>
    <t>COMPLEMENTO</t>
  </si>
  <si>
    <t>CH</t>
  </si>
  <si>
    <t>Total</t>
  </si>
  <si>
    <t>Data Aprovação CONCENTRO</t>
  </si>
  <si>
    <t>Categoria: Programa ou Projeto</t>
  </si>
  <si>
    <t>Descrição do Local/Cargo/função...</t>
  </si>
  <si>
    <t>Para uso do depto do Curso</t>
  </si>
  <si>
    <t>Professor</t>
  </si>
  <si>
    <t>TIT</t>
  </si>
  <si>
    <t>REG</t>
  </si>
  <si>
    <t>ENS. G</t>
  </si>
  <si>
    <t>ENS. PG</t>
  </si>
  <si>
    <t>APE.</t>
  </si>
  <si>
    <t>ORI.</t>
  </si>
  <si>
    <t>PROJ. P.</t>
  </si>
  <si>
    <t>A. EXT</t>
  </si>
  <si>
    <t>GCC</t>
  </si>
  <si>
    <t>PROJ. E.</t>
  </si>
  <si>
    <t>ADM.</t>
  </si>
  <si>
    <t>COMPL.</t>
  </si>
  <si>
    <t>CAP.</t>
  </si>
  <si>
    <t>LIC.</t>
  </si>
  <si>
    <t>TOT</t>
  </si>
  <si>
    <t>Efet/Subst</t>
  </si>
  <si>
    <t>Animais De Laboratório: Manejo Ético</t>
  </si>
  <si>
    <t>Áreas De Fronteira: Seminários Em Bioquímica E Biologia Molecular</t>
  </si>
  <si>
    <t>Atividades Didáticas I</t>
  </si>
  <si>
    <t>Atividades Didáticas Ii</t>
  </si>
  <si>
    <t>Bases Moleculares Da Regulação Gênica</t>
  </si>
  <si>
    <t>Bases Moleculares Das Doenças Crônicas Não Transmissíveis</t>
  </si>
  <si>
    <t>Bioengenharia Farmacêutica</t>
  </si>
  <si>
    <t>Bioindicadores De Mutagênese Ambiental</t>
  </si>
  <si>
    <t>Bioinformática</t>
  </si>
  <si>
    <t>Biologia Molecular: Aplicações Em Ciências Farmacêuticas</t>
  </si>
  <si>
    <t>Biomarcadores De Mutagênese Ambiental</t>
  </si>
  <si>
    <t>Bioquímica E Biologia Molecular Na Prática: Curso Teórico-Prático</t>
  </si>
  <si>
    <t>Bioquímica Experimental</t>
  </si>
  <si>
    <t>Bioquímica Farmacológica</t>
  </si>
  <si>
    <t>Caracterização Genotípica E Fenotípica De Fungos Patogênicos</t>
  </si>
  <si>
    <t>Cinética Enzimática E Ligação A Receptores</t>
  </si>
  <si>
    <t>Controle Da Expressão Gênica</t>
  </si>
  <si>
    <t>Engenharia De Bibliotecas De Anticorpos E Peptídeos Por Phage</t>
  </si>
  <si>
    <t>Enzimologia</t>
  </si>
  <si>
    <t>Estresse Oxidativo Associado À Patologia E À Poluição</t>
  </si>
  <si>
    <t>Fundamentos De Biologia Molecular</t>
  </si>
  <si>
    <t>Fundamentos De Bioquímica</t>
  </si>
  <si>
    <t>Fundamentos De Ecotoxicologia Molecular</t>
  </si>
  <si>
    <t>Fundamentos Em Biologia Molecular</t>
  </si>
  <si>
    <t>Fundamentos Em Bioquímica</t>
  </si>
  <si>
    <t>Genética Do Câncer</t>
  </si>
  <si>
    <t>Glicobiologia Aplicada A Biotecnologia</t>
  </si>
  <si>
    <t>Hormônios E Metabolismo: Visão Integrativa</t>
  </si>
  <si>
    <t>Imunogenética</t>
  </si>
  <si>
    <t>Inovação Tecnológica Para Expressão E Purificação De Produtos De Interesse Biotecnológico</t>
  </si>
  <si>
    <t>Mecanismos Moleculares Da Ação De Fármacos: Receptores E Vias De Transdução</t>
  </si>
  <si>
    <t>Mecanismos Moleculares E Celulares Da Resposta Imune</t>
  </si>
  <si>
    <t>Métodos E Técnicas Em Bioquímica E Biologia Molecular</t>
  </si>
  <si>
    <t>Modelos Para O Envelhecimento Humano</t>
  </si>
  <si>
    <t>Princípios Da Biologia Molecular</t>
  </si>
  <si>
    <t>Produção E Purificação De Enzimas Microbianas</t>
  </si>
  <si>
    <t>Química E Proteínas</t>
  </si>
  <si>
    <t>Sinalização Celular</t>
  </si>
  <si>
    <t>Tópicos Avançados Em Bioquímica</t>
  </si>
  <si>
    <t>Tópicos Avançados Em Bioquímica E Biologia Molecular</t>
  </si>
  <si>
    <t>Tópicos Avançados Em Bioquímica I</t>
  </si>
  <si>
    <t>Tópicos Avançados Em Bioquímica Ii</t>
  </si>
  <si>
    <t>Tópicos Avançados Em Biotecnologia Molecular</t>
  </si>
  <si>
    <t>Tópicos Avançados Em Biotecnologia Molecular I</t>
  </si>
  <si>
    <t>Tópicos Avançados Em Biotecnologia Molecular Ii</t>
  </si>
  <si>
    <t>Tópicos Em Biotecnologia</t>
  </si>
  <si>
    <t>Acupuntura Veterinária</t>
  </si>
  <si>
    <t>Afecções Reprodutivas Dos Animais De Produção: Aspectos Clínicos, Microbiológicos E Histológicos</t>
  </si>
  <si>
    <t>Anestesia Em Pacientes Especiais: Considerações Fisiopatológicas E Clínicas (Pequenos Animais)</t>
  </si>
  <si>
    <t>Anestesia Em Pacientes Especiais: Considerações Fisiopatológicas E Clínicas (Silvestres, Selvagens, Pequenos E Grandes Animais)</t>
  </si>
  <si>
    <t>Anestesiologia Avançada</t>
  </si>
  <si>
    <t>Atualizações Avícolas</t>
  </si>
  <si>
    <t>Atualizações Em Avicultura</t>
  </si>
  <si>
    <t>Biologia Da Lactação</t>
  </si>
  <si>
    <t>Biologia Molecular</t>
  </si>
  <si>
    <t>Biologia Molecular E Celular</t>
  </si>
  <si>
    <t>Bioquímica Clínica Aplicada À Experimentação Animal</t>
  </si>
  <si>
    <t>Biotécnicas Da Reprodução Em Ruminantes</t>
  </si>
  <si>
    <t>Clínica Médica De Equinos</t>
  </si>
  <si>
    <t>Condutas Em Anestesia De Grandes Animais</t>
  </si>
  <si>
    <t>Conservação De Recursos Genéticos Animais</t>
  </si>
  <si>
    <t>Cultivo De Células Animais</t>
  </si>
  <si>
    <t>Delineamentos Experimentais</t>
  </si>
  <si>
    <t>Diagnóstico Em Histopatologia I</t>
  </si>
  <si>
    <t>Diagnóstico Em Histopatologia Ii</t>
  </si>
  <si>
    <t>Diagnóstico Em Parasitologia</t>
  </si>
  <si>
    <t>Diagnóstico Histopatológico, Imuno-Histoquímico E Molecular Em Medicina Veterinária</t>
  </si>
  <si>
    <t>Diagnóstico Post Mortem</t>
  </si>
  <si>
    <t>Diagnóstico Post-Mortem Em Aves</t>
  </si>
  <si>
    <t>Docência Orientada I</t>
  </si>
  <si>
    <t>Docência Orientada Ii</t>
  </si>
  <si>
    <t>Doenças Carenciais E Tóxicas</t>
  </si>
  <si>
    <t>Doenças Carenciais Em Ruminantes</t>
  </si>
  <si>
    <t>Doenças Tóxicas E Carenciais Em Ruminantes</t>
  </si>
  <si>
    <t>Doenças Tóxicas Em Ruminantes</t>
  </si>
  <si>
    <t>Dor E Analgesia</t>
  </si>
  <si>
    <t>Ecofisiologia Da Produção Forrageira</t>
  </si>
  <si>
    <t>Emergências Anestésicas</t>
  </si>
  <si>
    <t>Estatística</t>
  </si>
  <si>
    <t>Estatística Experimental</t>
  </si>
  <si>
    <t>Ética Na Experimentação Animal</t>
  </si>
  <si>
    <t>Filosofia Da Ciência</t>
  </si>
  <si>
    <t>Fisiologia Animal</t>
  </si>
  <si>
    <t>Fisiologia Da Digestão</t>
  </si>
  <si>
    <t>Forragicultura</t>
  </si>
  <si>
    <t>Fundamentos Em Bacteriologia</t>
  </si>
  <si>
    <t>Genética Molecular Animal</t>
  </si>
  <si>
    <t>Hematologia Dos Animais Domésticos</t>
  </si>
  <si>
    <t>Medicina De Suínos I</t>
  </si>
  <si>
    <t>Medicina De Suínos Ii</t>
  </si>
  <si>
    <t>Medidas De Valor Nutritivo Dos Alimentos</t>
  </si>
  <si>
    <t>Medidas Do Valor Alimentar</t>
  </si>
  <si>
    <t>Melhoramento Animal</t>
  </si>
  <si>
    <t>Melhoramento Genético Animal</t>
  </si>
  <si>
    <t>Modalidades Avançadas Em Diagnóstico Por Imagem Veterinário</t>
  </si>
  <si>
    <t>Neuropatologia</t>
  </si>
  <si>
    <t>Nutrição De Monogástricos</t>
  </si>
  <si>
    <t>Nutrição De Não-Ruminantes</t>
  </si>
  <si>
    <t>Nutrição De Ruminantes</t>
  </si>
  <si>
    <t>Ortopedia Veterinária</t>
  </si>
  <si>
    <t>Parasitoses De Pequenos Animais</t>
  </si>
  <si>
    <t>Parasitoses De Ruminantes</t>
  </si>
  <si>
    <t>Parasitoses De Suínos E Aves</t>
  </si>
  <si>
    <t>Patogênese Bacteriana</t>
  </si>
  <si>
    <t>Patologia Comparada De Animais Selvagens</t>
  </si>
  <si>
    <t>Patologia Comparada Dos Animais Selvagens</t>
  </si>
  <si>
    <t>Resistência Bacteriana Aos Antimicrobianos Na Veterinária</t>
  </si>
  <si>
    <t>Rotinas Anestésicas</t>
  </si>
  <si>
    <t>Sanidade Avícola</t>
  </si>
  <si>
    <t>Sanidade De Suínos</t>
  </si>
  <si>
    <t>Sanidade Suína</t>
  </si>
  <si>
    <t>Seminário De Histopatologia</t>
  </si>
  <si>
    <t>Seminários De Diagnóstico Histopatológico Das Enfermidades Infecciosas</t>
  </si>
  <si>
    <t>Seminários De Diagnóstico Histopatológico Das Enfermidades Não Infecciosas</t>
  </si>
  <si>
    <t>Seminários I</t>
  </si>
  <si>
    <t>Seminários Ii</t>
  </si>
  <si>
    <t>Seminários Iii</t>
  </si>
  <si>
    <t>Seminários Iv</t>
  </si>
  <si>
    <t>Técnicas De Avaliação Em Experimentos De Pastejo</t>
  </si>
  <si>
    <t>Tópicos Avançados Em Patologia Macroscópica Veterinária</t>
  </si>
  <si>
    <t>Tópicos Avançados Em Piscicultura</t>
  </si>
  <si>
    <t>Tópicos De Reprodução Em Equinos E Suínos</t>
  </si>
  <si>
    <t>Tópicos De Reprodução Em Suínos</t>
  </si>
  <si>
    <t>Tópicos Em Bioquímica</t>
  </si>
  <si>
    <t>Tópicos Em Bioquímica Animal</t>
  </si>
  <si>
    <t>Tópicos Em Bioquímica Veterinária</t>
  </si>
  <si>
    <t>Tópicos Em Bovinocultura De Leite</t>
  </si>
  <si>
    <t>Tópicos Especiais Em Microbiologia</t>
  </si>
  <si>
    <t>Tópicos Especiais Em Produção Animal</t>
  </si>
  <si>
    <t>Tópicos Especiais Em Produção Animal - Análise Estatística De Dados Utilizando O Programa Estatístico Sas</t>
  </si>
  <si>
    <t>Tópicos Especiais Em Produção Animal - Análise Estatística De Dados Utilizando O Programa Estatístico Sas I</t>
  </si>
  <si>
    <t>Tópicos Especiais Em Produção Animal - Estudo Do Desenvolvimento Folicular Pré-Ovulatório Em Bovinos: Modelagem De Estudo In Vivo E In Vitro</t>
  </si>
  <si>
    <t>Tópicos Especiais Em Produção Animal - Ruminal Fermentation, Milk Synthesis, Environmental Impact</t>
  </si>
  <si>
    <t>Tópicos Especiais Em Produção Animal - Tecnologia De Leite E Derivados</t>
  </si>
  <si>
    <t>Tópicos Especiais Em Saúde Animal</t>
  </si>
  <si>
    <t>Tópicos Especiais Em Saúde Animal - Análise Estatística De Dados Utilizando O Programa Estatístico Sas Ii</t>
  </si>
  <si>
    <t>Tópicos Especiais Em Saúde Animal - Aspectos Clínico-Patológicos E Diagnóstico Das Principais Neoplasias Em Animais</t>
  </si>
  <si>
    <t>Tópicos Especiais Em Saúde Animal - Biologia Das Serpentes Peçonhentas E Acidentes Ofídicos</t>
  </si>
  <si>
    <t>Tópicos Especiais Em Saúde Animal - Biomateriais</t>
  </si>
  <si>
    <t>Tópicos Especiais Em Saúde Animal - Clínica Médica De Equinos</t>
  </si>
  <si>
    <t>Tópicos Especiais Em Saúde Animal - Inspeção De Leite E Derivados</t>
  </si>
  <si>
    <t>Tópicos Especiais Em Saúde Animal - Neoplasias Dos Animais Domésticos I</t>
  </si>
  <si>
    <t>Tópicos Especiais Em Saúde Animal - Neoplasias Dos Animais Domésticos Ii</t>
  </si>
  <si>
    <t>Tópicos Especiais Em Saúde Animal - Parasitoses De Equinos</t>
  </si>
  <si>
    <t>Tópicos Especiais Em Saúde Animal - Reabilitação Animal</t>
  </si>
  <si>
    <t>Tópicos Especiais Em Saúde Animal - Special Topics In Veterinary Clinical Pathology</t>
  </si>
  <si>
    <t>Ultrassonografia Em Pequenos Animais</t>
  </si>
  <si>
    <t>Virologia Molecular</t>
  </si>
  <si>
    <t>Zoonoses Parasitárias</t>
  </si>
  <si>
    <t>Água No Sistema Solo-Planta Atmosfera</t>
  </si>
  <si>
    <t>Biodegradação De Resíduos Agrícolas E Industriais</t>
  </si>
  <si>
    <t>Biologia Do Solo</t>
  </si>
  <si>
    <t>Ecotoxicologia De Poluentes Inorgânicos</t>
  </si>
  <si>
    <t>Estatística Experimental E Análise Multivariada</t>
  </si>
  <si>
    <t>Estatística Nivelamento</t>
  </si>
  <si>
    <t>Fertilidade Do Solo</t>
  </si>
  <si>
    <t>Física Do Solo</t>
  </si>
  <si>
    <t>Gênese, Morfologia E Classificação De Solos</t>
  </si>
  <si>
    <t>Hidrologia</t>
  </si>
  <si>
    <t>Levantamento De Solos</t>
  </si>
  <si>
    <t>Manejo Do Solo</t>
  </si>
  <si>
    <t>Matéria Orgânica Do Solo</t>
  </si>
  <si>
    <t>Métodos De Análise Em Microbiologia E Bioquímica Do Solo</t>
  </si>
  <si>
    <t>Mineralogia Do Solo</t>
  </si>
  <si>
    <t>Química Do Solo</t>
  </si>
  <si>
    <t>Recuperação De Áreas Degradadas</t>
  </si>
  <si>
    <t>Redação E Apresentação De Trabalhos Científicos</t>
  </si>
  <si>
    <t>Relação Planta Microrganismos</t>
  </si>
  <si>
    <t>Relação Solo-Planta</t>
  </si>
  <si>
    <t>Seminários Doutorado 1</t>
  </si>
  <si>
    <t>Seminários Doutorado 2</t>
  </si>
  <si>
    <t>Seminários Doutorado Ouvinte</t>
  </si>
  <si>
    <t>Seminários Mestrado</t>
  </si>
  <si>
    <t>Seminários Mestrado Ouvinte</t>
  </si>
  <si>
    <t>Técnicas De Análise Química De Solo E Tecido Vegetal</t>
  </si>
  <si>
    <t>Tópicos Especiais Ciência Do Solo - Manejo Da Fertilidade Em Solos Tropicais</t>
  </si>
  <si>
    <t>Tópicos Especiais Em Ciência Do Solo</t>
  </si>
  <si>
    <t>Tópicos Especiais Em Ciência Do Solo - Agrominerais Na Agricultura</t>
  </si>
  <si>
    <t>Tópicos Especiais Em Ciência Do Solo - A Utilização De Ensaios Em Mesocosmos Como Ferramenta Para Avaliação De Efeitos De Contaminantes E Outros...</t>
  </si>
  <si>
    <t>Tópicos Especiais Em Ciência Do Solo - Análise Orgânica</t>
  </si>
  <si>
    <t>Tópicos Especiais Em Ciência Do Solo - Avaliação De Risco</t>
  </si>
  <si>
    <t>Tópicos Especiais Em Ciência Do Solo - Biodiversidade Do Solo E Serviços Ecossistêmicos: Oportunidades E Desafios Para O Empreendedorismo</t>
  </si>
  <si>
    <t>Tópicos Especiais Em Ciência Do Solo – Bioinsumos: Aplicação Ambiental, Desafios E Oportunidades De Aprender</t>
  </si>
  <si>
    <t>Tópicos Especiais Em Ciência Do Solo - Dinâmica Do Fósforo No Solo E Ambiente</t>
  </si>
  <si>
    <t>Tópicos Especiais Em Ciência Do Solo - Ecotoxicologia Do Solo</t>
  </si>
  <si>
    <t>Tópicos Especiais Em Ciência Do Solo - Ecotoxicologia Terrestre E Análise De Risco Ecológico</t>
  </si>
  <si>
    <t>Tópicos Especiais Em Ciência Do Solo - Educação Em Solos</t>
  </si>
  <si>
    <t>Tópicos Especiais Em Ciência Do Solo - Estatística Experimental Com Uso Do Software R</t>
  </si>
  <si>
    <t>Tópicos Especiais Em Ciência Do Solo - Fauna Edáfica</t>
  </si>
  <si>
    <t>Tópicos Especiais Em Ciência Do Solo - Geoquímica De Metais Pesados</t>
  </si>
  <si>
    <t>Tópicos Especiais Em Ciência Do Solo - Influência Da Erosão</t>
  </si>
  <si>
    <t>Tópicos Especiais Em Ciência Do Solo - Mecânica De Erosão Hídrica Do Solo</t>
  </si>
  <si>
    <t>Tópicos Especiais Em Ciência Do Solo - Mineralogia Das Argilas</t>
  </si>
  <si>
    <t>Tópicos Especiais Em Ciência Do Solo - Mineralogia Do Solo</t>
  </si>
  <si>
    <t>Tópicos Especiais Em Ciência Do Solo - Poluição Do Solo</t>
  </si>
  <si>
    <t>Tópicos Especiais Em Ciência Do Solo - Uso E Conservação Do Solo</t>
  </si>
  <si>
    <t>Uso E Conservação Do Solo</t>
  </si>
  <si>
    <t>Análise Espacial</t>
  </si>
  <si>
    <t>Auditoria E Certificação Ambiental</t>
  </si>
  <si>
    <t>Avaliação Ambiental De Produtos</t>
  </si>
  <si>
    <t>Avaliação De Impacto Ambiental E Passivos Ambientais</t>
  </si>
  <si>
    <t>Biorremediação</t>
  </si>
  <si>
    <t>Economia E Gestão Ambiental</t>
  </si>
  <si>
    <t>Energia E Desenvolvimento</t>
  </si>
  <si>
    <t>Estatística Aplicada</t>
  </si>
  <si>
    <t>Fontes De Energias Renováveis</t>
  </si>
  <si>
    <t>Gestão Territorial E Recursos Hídricos</t>
  </si>
  <si>
    <t>Metodologia Da Pesquisa E Redação Científica</t>
  </si>
  <si>
    <t>Modelagem E Simulação Ambiental</t>
  </si>
  <si>
    <t>Modelagem E Simulação De Sistemas Ambientais</t>
  </si>
  <si>
    <t>Mudanças Climáticas</t>
  </si>
  <si>
    <t>Poluentes</t>
  </si>
  <si>
    <t>Projetos Ambientais</t>
  </si>
  <si>
    <t>Solos E Meio Ambiente</t>
  </si>
  <si>
    <t>Tecnologia Aplicada Ao Tratamento De Água E Efluentes</t>
  </si>
  <si>
    <t>Tecnologia Aplicada Ao Tratamento De Resíduos</t>
  </si>
  <si>
    <t>Tópicos Especiais I</t>
  </si>
  <si>
    <t>Tópicos Especiais I - Engenharia De Bioprocessos Em Meio Ambiente</t>
  </si>
  <si>
    <t>Tópicos Especiais I - Métodos De Análise Química Ambiental</t>
  </si>
  <si>
    <t>Tópicos Especiais I - Métodos De Separação Para Análise</t>
  </si>
  <si>
    <t>Tópicos Especiais I - Métodos Ópticos De Análise</t>
  </si>
  <si>
    <t>Tópicos Especiais I - Modelagem Hidrológica Com O Hec-Hms Aplicada A Estudos De Inundações</t>
  </si>
  <si>
    <t>Tópicos Especiais I - Preparação De Amostras Para Análises Por Absorção Atômica</t>
  </si>
  <si>
    <t>Tópicos Especiais I - Química Da Água</t>
  </si>
  <si>
    <t>Tópicos Especiais Ii</t>
  </si>
  <si>
    <t>Tópicos Especiais Ii - Métodos De Separação: Cromatografia Gasosa E Líquida De Alta Eficiência</t>
  </si>
  <si>
    <t>Tópicos Especiais Ii - Métodos Físico-Químicos De Análise</t>
  </si>
  <si>
    <t>Tópicos Especiais Ii - Modelagem Hidrológica E Hidrodinâmica Aplicadas A Estudos De Alagamentos E Inundações</t>
  </si>
  <si>
    <t>Tópicos Especiais Iii</t>
  </si>
  <si>
    <t>Tópicos Especiais Iii - Poluição Do Solo</t>
  </si>
  <si>
    <t>A Madeira Na Construção</t>
  </si>
  <si>
    <t>Amostragem Aplicada A Levantamentos Florestais</t>
  </si>
  <si>
    <t>Análise De Regressão Aplicada À Engenharia Florestal</t>
  </si>
  <si>
    <t>Avaliação De Impactos Ambientais</t>
  </si>
  <si>
    <t>Celulose E Papel</t>
  </si>
  <si>
    <t>Conservação E Uso De Espécies Florestais</t>
  </si>
  <si>
    <t>Dendrologia</t>
  </si>
  <si>
    <t>Descrição E Análise Da Vegetação</t>
  </si>
  <si>
    <t>Ecofisiologia Vegetal</t>
  </si>
  <si>
    <t>Ecologia De Florestas Neo-Subtropicais</t>
  </si>
  <si>
    <t>Economia Florestal</t>
  </si>
  <si>
    <t>Engenharia Do Ambiente Na Indústria Florestal</t>
  </si>
  <si>
    <t>Fauna Edáfica Em Ecossistemas Florestais</t>
  </si>
  <si>
    <t>Fitogeografia</t>
  </si>
  <si>
    <t>Genética De Populações De Espécies Florestais</t>
  </si>
  <si>
    <t>Geoestatística Aplicada A Ciência Florestal</t>
  </si>
  <si>
    <t>Gestão De Recursos Naturais Renováveis</t>
  </si>
  <si>
    <t>Hidrologia E Manejo De Bacias</t>
  </si>
  <si>
    <t>Implantação E Condução De Povoamentos Florestais</t>
  </si>
  <si>
    <t>Manejo De Florestas Nativas</t>
  </si>
  <si>
    <t>Manejo De Florestas Plantadas</t>
  </si>
  <si>
    <t>Manejo E Conservação Da Fauna Silvestre</t>
  </si>
  <si>
    <t>Manejo E Conservação De Solos Em Ecossistemas E Sistemas De Produção Florestal</t>
  </si>
  <si>
    <t>Mecânica Dos Sólidos Aplicada À Engenharia Florestal</t>
  </si>
  <si>
    <t>Melhoramento Genético E Biotecnologia Florestal</t>
  </si>
  <si>
    <t>Mensuração Florestal</t>
  </si>
  <si>
    <t>Métodos Estatísticos-Experimentais Aplicados À Engenharia Florestal</t>
  </si>
  <si>
    <t>Modelagem Do Crescimento E Produção Florestal</t>
  </si>
  <si>
    <t>Operações Mecanizadas Silviculturais</t>
  </si>
  <si>
    <t>Painéis Reconstituídos De Madeira</t>
  </si>
  <si>
    <t>Produção E Tecnologia De Sementes Florestais</t>
  </si>
  <si>
    <t>Qualidade Da Madeira E Produtos Florestais I</t>
  </si>
  <si>
    <t>Qualidade Da Madeira E Produtos Florestais Ii</t>
  </si>
  <si>
    <t>Restauração Florestal</t>
  </si>
  <si>
    <t>Sensoriamento Remoto Aplicado À Engenharia Florestal</t>
  </si>
  <si>
    <t>Silvicultura Aplicada A Espécies De Interesse Comercial</t>
  </si>
  <si>
    <t>Sistema De Informação Geográfica</t>
  </si>
  <si>
    <t>Sociologia Ambiental E Uso Dos Recursos Naturais</t>
  </si>
  <si>
    <t>Solos E Produção Florestal</t>
  </si>
  <si>
    <t>Tópicos Especiais Em Caracterização Da Madeira E Processos Industriais</t>
  </si>
  <si>
    <t>Tópicos Especiais Em Caracterização Da Madeira E Processos Industriais - Madeira Laminada Colada</t>
  </si>
  <si>
    <t>Tópicos Especiais Em Caracterização Da Madeira E Processos Industriais - Novas Perspectivas Para Tratamento De Madeira</t>
  </si>
  <si>
    <t>Tópicos Especiais Em Caracterização Da Madeira E Processos Industriais (Tratamento Da Biomassa Para Geração De Energia)</t>
  </si>
  <si>
    <t>Tópicos Especiais Em Ciência Do Solo Aplicada À Produção Florestal</t>
  </si>
  <si>
    <t>Tópicos Especiais Em Ciência Do Solo Aplicada À Produção Florestal - Fertilidade E Adubação De Solos Florestais</t>
  </si>
  <si>
    <t>Tópicos Especiais Em Crescimento E Produção De Florestas Nativas E Plantadas</t>
  </si>
  <si>
    <t>Tópicos Especiais Em Crescimento E Produção De Florestas Nativas E Plantadas - Computação No Ambiente R: Aplicações Nas Ciências Agrárias</t>
  </si>
  <si>
    <t>Tópicos Especiais Em Crescimento E Produção De Florestas Nativas E Plantadas - Manejo De Florestas Mistas</t>
  </si>
  <si>
    <t>Tópicos Especiais Em Crescimento E Produção De Florestas Nativas E Plantadas - Mensuração Florestal</t>
  </si>
  <si>
    <t>Tópicos Especiais Em Crescimento E Produção De Florestas Nativas E Plantadas - Operações De Colheita Florestal</t>
  </si>
  <si>
    <t>Tópicos Especiais Em Ecologia De Espécies Florestais E Ecossistemas Associados</t>
  </si>
  <si>
    <t>Tópicos Especiais Em Ecologia De Espécies Florestais E Ecossistemas Associados - Anatomia Para A Identificação Da Madeira</t>
  </si>
  <si>
    <t>Tópicos Especiais Em Ecologia De Espécies Florestais E Ecossistemas Associados - Estatística Multivariada</t>
  </si>
  <si>
    <t>Tópicos Especiais Em Ecologia De Espécies Florestais E Ecossistemas Associados - Funções Do Manejo E Extensão Rural</t>
  </si>
  <si>
    <t>Tópicos Especiais Em Silvicultura</t>
  </si>
  <si>
    <t>Tópicos Especiais Em Silvicultura - Agricultura De Precisão E Geotecnologias</t>
  </si>
  <si>
    <t>Tópicos Especiais Em Silvicultura - Economia Florestal</t>
  </si>
  <si>
    <t>Tópicos Especiais Em Silvicultura - Fisiologia Do Desenvolvimento Inicial De Espécies Florestais</t>
  </si>
  <si>
    <t>Tópicos Especiais Em Silvicultura - Geotecnologias E Estatística Multivariada</t>
  </si>
  <si>
    <t>Tópicos Especiais Em Silvicultura - Manejo E Conservação De Solos Em Ecossistemas E Sistemas De Produção Florestal</t>
  </si>
  <si>
    <t>Tópicos Especiais Em Silvicultura - Métodos Quantitativos Aplicados À Engenharia Florestal</t>
  </si>
  <si>
    <t>Tópicos Especiais Em Silvicultura - Redação Científica Aplicada</t>
  </si>
  <si>
    <t>Tópicos Especiais Em Silvicultura - Rede Viária Florestal</t>
  </si>
  <si>
    <t>Transformação Da Madeira E Produtos Floretais</t>
  </si>
  <si>
    <t>Transformação Mecânica Da Madeira</t>
  </si>
  <si>
    <t>Uso E Conservação De Espécies Florestais</t>
  </si>
  <si>
    <t>Análise De Sementes</t>
  </si>
  <si>
    <t>Biologia E Manejo De Plantas Daninhas</t>
  </si>
  <si>
    <t>Biologia Molecular Vegetal E Biotecnologia</t>
  </si>
  <si>
    <t>Crescimento E Desenvolvimento De Plantas De Lavoura</t>
  </si>
  <si>
    <t>Cultura De Tecidos E Melhoramento Genético De Espécies Frutíferas De Clima Temperado</t>
  </si>
  <si>
    <t>Ecologia Nos Sistemas Agrícolas</t>
  </si>
  <si>
    <t>Estatística E Delineamento Experimentais</t>
  </si>
  <si>
    <t>Fisiologia E Bioquímica Do Desenvolvimento De Sementes</t>
  </si>
  <si>
    <t>Fisiologia E Manejo De Fruteiras De Clima Temperado I</t>
  </si>
  <si>
    <t>Fisiologia E Manejo De Fruteiras De Clima Temperado Ii</t>
  </si>
  <si>
    <t>Fisiologia E Tecnologia Pós-Colheita</t>
  </si>
  <si>
    <t>Homeopatia Na Agropecuária</t>
  </si>
  <si>
    <t>Manejo Integrado De Doenças</t>
  </si>
  <si>
    <t>Manejo Integrado De Pragas</t>
  </si>
  <si>
    <t>Modelos Biométricos Aplicados À Agronomia</t>
  </si>
  <si>
    <t>Patologia De Sementes</t>
  </si>
  <si>
    <t>Processos De Resistências De Plantas A Pragas E Doenças</t>
  </si>
  <si>
    <t>Produção E Tecnologia De Sementes</t>
  </si>
  <si>
    <t>Resistência De Plantas Daninhas A Herbicidas</t>
  </si>
  <si>
    <t>Seminários Doutorado I</t>
  </si>
  <si>
    <t>Seminários Doutorado Ii</t>
  </si>
  <si>
    <t>Técnicas Aplicadas Ao Melhoramento De Plantas</t>
  </si>
  <si>
    <t>Tópicos Especiais Em Produção Vegetal</t>
  </si>
  <si>
    <t>Tópicos Especiais Em Produção Vegetal - Análise Estatística De Dados Utilizando O Programa Sas</t>
  </si>
  <si>
    <t>Tópicos Especiais Em Produção Vegetal - Análise Orgânica</t>
  </si>
  <si>
    <t>Tópicos Especiais Em Produção Vegetal - Diagnose De Doenças De Plantas</t>
  </si>
  <si>
    <t>Tópicos Especiais Em Produção Vegetal - Distúrbios Fisiológ. Pós-Colheita Em Frutos De Hortaliça: Aspec. Fisiológ., Bioquímicos, Molecul. E Anatômicos</t>
  </si>
  <si>
    <t>Tópicos Especiais Em Produção Vegetal - Ecologia De Comunidades Infestantes</t>
  </si>
  <si>
    <t>Tópicos Especiais Em Produção Vegetal - Escrita Acadêmica</t>
  </si>
  <si>
    <t>Tópicos Especiais Em Produção Vegetal - Estudos De Casos Aplicados À Experimentação Agrícola</t>
  </si>
  <si>
    <t>Tópicos Especiais Em Produção Vegetal - Evolução E Significado Ecológico Do Metabolismo Secundário De Plantas</t>
  </si>
  <si>
    <t>Tópicos Especiais Em Produção Vegetal - Fenologia Em Sistemas De Produção De Grãos</t>
  </si>
  <si>
    <t>Tópicos Especiais Em Produção Vegetal - Fisiologia E Manejo De Frutíferas Tropicais E De Plantas Caducifólias Cultivadas No Trópico</t>
  </si>
  <si>
    <t>Tópicos Especiais Em Produção Vegetal - Fruticultura No Mercosul</t>
  </si>
  <si>
    <t>Tópicos Especiais Em Produção Vegetal - Fruticultura No Mercosul: Módulo I</t>
  </si>
  <si>
    <t>Tópicos Especiais Em Produção Vegetal - Funcionamento E Medições De Fotossíntese Com Uso De Analisador De Gás Infravermelho (Irga)</t>
  </si>
  <si>
    <t>Tópicos Especiais Em Produção Vegetal - Geotecnologias Aplicadas À Agricultura De Precisão</t>
  </si>
  <si>
    <t>Tópicos Especiais Em Produção Vegetal - Homeopatia Na Agropecuária</t>
  </si>
  <si>
    <t>Tópicos Especiais Em Produção Vegetal - Homeopatia Na Agropecuária Ii</t>
  </si>
  <si>
    <t>Tópicos Especiais Em Produção Vegetal - Integração Frutícola Brasil-Uruguai</t>
  </si>
  <si>
    <t>Tópicos Especiais Em Produção Vegetal - Leitura, Escrita E Oratória Científica</t>
  </si>
  <si>
    <t>Tópicos Especiais Em Produção Vegetal - Leitura, Escrita E Oratória Científica Ii</t>
  </si>
  <si>
    <t>Tópicos Especiais Em Produção Vegetal - Liderança, Empregabilidade E Habilidades Emocionais - Ryla</t>
  </si>
  <si>
    <t>Tópicos Especiais Em Produção Vegetal - Técnicas Avançadas Em Fruticultura De Clima Temperado</t>
  </si>
  <si>
    <t>Tópicos Especiais Em Produção Vegetal - Tecnologias Emergentes Em Pós-Colheita De Frutos</t>
  </si>
  <si>
    <t>Tópicos Especiais Em Produção Vegetal - Resistência De Insetos A Inseticidas E Às Táticas De Controle</t>
  </si>
  <si>
    <t>Virologia Vegetal</t>
  </si>
  <si>
    <t>Programa de Pós-Graduação em Bioquímica e Biologia Molecular</t>
  </si>
  <si>
    <t>Programa de Pós-Graduação Em Ciência Animal</t>
  </si>
  <si>
    <t>Programa de Pós-Graduação em Ciência Animal</t>
  </si>
  <si>
    <t>Programa de Pós-Graduação em Ciências Ambientais</t>
  </si>
  <si>
    <t>Programa de Pós-Graduação em Engenharia Florestal</t>
  </si>
  <si>
    <t>Programa de Pós-Graduação em Produção Vegetal</t>
  </si>
  <si>
    <t>A Contratar Ps 03/2022</t>
  </si>
  <si>
    <t>Ademar Luiz Dallabrida</t>
  </si>
  <si>
    <t>Ademir Cassiano Da Rosa</t>
  </si>
  <si>
    <t>Adson Costa</t>
  </si>
  <si>
    <t>Aimé De Medeiros Friso</t>
  </si>
  <si>
    <t>Alceu Mezzalira</t>
  </si>
  <si>
    <t>Aldo Gava</t>
  </si>
  <si>
    <t>Alexandre Ferreira De Macedo</t>
  </si>
  <si>
    <t>Alexandre Tripoli Venção</t>
  </si>
  <si>
    <t>Alexsandro Bayestorff Da Cunha</t>
  </si>
  <si>
    <t>Amanda Leite Bastos Pereira</t>
  </si>
  <si>
    <t>Ana Carolina Da Silva</t>
  </si>
  <si>
    <t>Ana Karina Couto Hack</t>
  </si>
  <si>
    <t>Anderson Barbosa De Moura</t>
  </si>
  <si>
    <t>Andreas Lazaros Chryssafidis</t>
  </si>
  <si>
    <t>Antonio Mendes De Oliveira Neto</t>
  </si>
  <si>
    <t>Aury Nunes De Moraes</t>
  </si>
  <si>
    <t>Carlos Augusto De Paiva Sampaio</t>
  </si>
  <si>
    <t>Cassandro Vidal Talamini Do Amarante</t>
  </si>
  <si>
    <t>Celso Pilati</t>
  </si>
  <si>
    <t>Cileide Maria Medeiros Coelho Arruda De Souza</t>
  </si>
  <si>
    <t>Claudia Pies Biffi</t>
  </si>
  <si>
    <t>Claudia Salete Wisser</t>
  </si>
  <si>
    <t>Clovis Arruda De Souza</t>
  </si>
  <si>
    <t>Daniel Schmitt</t>
  </si>
  <si>
    <t>Deise Hemckmeier</t>
  </si>
  <si>
    <t>Dimas Estrasulas De Oliveira</t>
  </si>
  <si>
    <t>Eder Alexandre Schatz Sá</t>
  </si>
  <si>
    <t>Efetivo À Contratar (Agro)</t>
  </si>
  <si>
    <t>Efetivo À Contratar (Eas)</t>
  </si>
  <si>
    <t>Efetivo À Contratar (Efl)</t>
  </si>
  <si>
    <t>Efetivo À Contratar (Vet)</t>
  </si>
  <si>
    <t>Efetivo À Contratar (Paa)</t>
  </si>
  <si>
    <t>Efetivo À Contratar (Srn)</t>
  </si>
  <si>
    <t>Eloá Dos Santos Kaguimoto Lisbôa</t>
  </si>
  <si>
    <t>Fabiano Zanini Salbego</t>
  </si>
  <si>
    <t>Fábio Nascimento Da Silva</t>
  </si>
  <si>
    <t>Felipe Comasseto</t>
  </si>
  <si>
    <t>Francine Bragagnolo Liz Stefen</t>
  </si>
  <si>
    <t>Francine Regianini Nerbass</t>
  </si>
  <si>
    <t>Giselle Regina Rodolfo</t>
  </si>
  <si>
    <t>Gustavo Felippe Da Silva</t>
  </si>
  <si>
    <t>Helena Cristina Vieira</t>
  </si>
  <si>
    <t>Ivaldo Dos Santos Junior</t>
  </si>
  <si>
    <t>Jaime Antonio De Almeida</t>
  </si>
  <si>
    <t>Jean Gabriel Dal Pizzol</t>
  </si>
  <si>
    <t>Jeane De Almeida Do Rosário</t>
  </si>
  <si>
    <t>Joandes Henrique Fonteque</t>
  </si>
  <si>
    <t>Juliano Pereira Gomes</t>
  </si>
  <si>
    <t>Julieta Volpato</t>
  </si>
  <si>
    <t>Kelly Scherer De Oliveira</t>
  </si>
  <si>
    <t>Lain Uriel Ohlweiler</t>
  </si>
  <si>
    <t>Leticia Andreza Yonezawa</t>
  </si>
  <si>
    <t>Luara Da Rosa</t>
  </si>
  <si>
    <t>Lucia Padilha Cury Thomaz De Aquino</t>
  </si>
  <si>
    <t>Luciana Magda De Oliveira</t>
  </si>
  <si>
    <t>Luis Carlos Iuñes De Oliveira Filho</t>
  </si>
  <si>
    <t>Luiz Paulo Rauber</t>
  </si>
  <si>
    <t>Maria Cecilia Camargo Bernart</t>
  </si>
  <si>
    <t>Maria De Lourdes Borba Magalhães</t>
  </si>
  <si>
    <t>Marielen Priscila Kaufmann</t>
  </si>
  <si>
    <t>Marina Perissinotto Dal Pont</t>
  </si>
  <si>
    <t>Mere Erika Saito</t>
  </si>
  <si>
    <t>Natalia Carolina Moraes Ehrhardt Brocardo</t>
  </si>
  <si>
    <t>Nilson Oleskovicz</t>
  </si>
  <si>
    <t>Paula Andressa Wunderlich De Andrade</t>
  </si>
  <si>
    <t>Paulo Henrique De Moraes</t>
  </si>
  <si>
    <t>Raquel Valério De Souza</t>
  </si>
  <si>
    <t>Renata Assis Casagrande</t>
  </si>
  <si>
    <t>Ricardo Antonio Pilegi Sfaciotte</t>
  </si>
  <si>
    <t>Rita Carolina De Melo</t>
  </si>
  <si>
    <t>Romeu De Souza Werner</t>
  </si>
  <si>
    <t>Roseli Lopes Da Costa Bortoluzzi</t>
  </si>
  <si>
    <t>Sabrina Lencina Bonorino</t>
  </si>
  <si>
    <t>Sandra Davi Traverso</t>
  </si>
  <si>
    <t>Sandra Maria Ferraz</t>
  </si>
  <si>
    <t>Sandy Bernardi Falcadi Tedesco Girotto</t>
  </si>
  <si>
    <t>Substituto À Contratar (Agro)</t>
  </si>
  <si>
    <t>Substituto À Contratar (Eas)</t>
  </si>
  <si>
    <t>Substituto À Contratar (Efl)</t>
  </si>
  <si>
    <t>Substituto À Contratar (Vet)</t>
  </si>
  <si>
    <t>Substituto À Contratar (Paa)</t>
  </si>
  <si>
    <t>Substituto À Contratar (Srn)</t>
  </si>
  <si>
    <t>Tiago Georg Pikart</t>
  </si>
  <si>
    <t>Ubirajara Maciel Da Costa</t>
  </si>
  <si>
    <t>Willian Galdino Lunardi</t>
  </si>
  <si>
    <t>BASE DE DADOS (MANTER OCULTA)</t>
  </si>
  <si>
    <t>BASE DE DADOS (OCULTAR)</t>
  </si>
  <si>
    <t>Olá.</t>
  </si>
  <si>
    <t>Esta planilha busca simular o PTI.</t>
  </si>
  <si>
    <t>Na aba seguinte (abaixo desta tela) "Inserção de Dados" vcs encontrarão um modelo semelhante ao PTI tradicional</t>
  </si>
  <si>
    <t>As cores representam o seguinte:</t>
  </si>
  <si>
    <t>Observem que os campos em verde constarão uma sugestão de carga horária de acordo com a maioria das regras da Resolução 029/2009 e caso algo fique diferente do previsto ficará em vermelho.</t>
  </si>
  <si>
    <t>Tal situação ocorrerá na ultima linha do PTI (DESENVOLVIMENTO DE CARGA HORÁRIA)</t>
  </si>
  <si>
    <t>Começem pelo nome do Professor (Deverão buscar na Barra de rolagem ao lado da célula)</t>
  </si>
  <si>
    <t>Os dados relacionados ao cadastro do professor será automaticamente preenchido nos campos em cinza.</t>
  </si>
  <si>
    <t>ATIVIDADE DE ENSINO GRADUAÇÃO E PÓS</t>
  </si>
  <si>
    <t>Basta selecionar a disciplina na barra de rolagem (COLUNA A). Consequentemente o curso  e fase será automaticamente inserido na tela.</t>
  </si>
  <si>
    <t xml:space="preserve">Planilha calculará no campo em verde a CH máxima e minima de acordo com a qtde de disciplinas </t>
  </si>
  <si>
    <t>ATIVIDADE DE ORIENTAÇÃO</t>
  </si>
  <si>
    <t>Selecione a modalidade e verifique no campo em verde a carga horária máxima permitida</t>
  </si>
  <si>
    <t>Informar se é professor vinculado a CAPES.</t>
  </si>
  <si>
    <t>A informação constante no campo "Participante/Coordenador" definirá o maximo de CH sugerida no campo em verde na mesma linha</t>
  </si>
  <si>
    <t>Informar o enquadramento do prof. Isso definirá o máximo de creditos à alocar cfme resolução. Aparecerá uma mensagem na mesma linha</t>
  </si>
  <si>
    <t>Planilha não realiza calculos de CH máxima. Apenas do total acumulado destas atividades.</t>
  </si>
  <si>
    <t>Informe a atividade e observe na mesma linha o máximo de CH que pode ser alocado.</t>
  </si>
  <si>
    <t>CAPACITAÇÃO / LICENÇA / COMPLEMENTEO</t>
  </si>
  <si>
    <t>DESENVOLVIMENTO DE CARGA HORÁRIA</t>
  </si>
  <si>
    <t>Aparecerá em vermelho as inconsistências.</t>
  </si>
  <si>
    <t>MANUAL</t>
  </si>
  <si>
    <t>Deve ser incluso dados manualmente. LANCEM OS DADOS EXCLUSIVAMENTE NESTES CAMPOS.</t>
  </si>
  <si>
    <t>CHEFES DE DPTO</t>
  </si>
  <si>
    <t>Na aba "POD" constará a mesma já pronta.</t>
  </si>
  <si>
    <t>OUTRAS ABAS</t>
  </si>
  <si>
    <t>Desconsiderem. São os bancos de dados utilizados nesta planilha para estrutura o PTI.</t>
  </si>
  <si>
    <t>Fisiologia Vegetal (Ciência Animal)</t>
  </si>
  <si>
    <t>Fisiologia Vegetal (Prod. Vegetal)</t>
  </si>
  <si>
    <t>Fundamentos Do Manejo De Plantas De Lavoura (Ciência Animal)</t>
  </si>
  <si>
    <t>Fundamentos Do Manejo De Plantas De Lavoura (Prod Veg)</t>
  </si>
  <si>
    <t>Metodologia Científica E Da Pesquisa (Ciência Animal)</t>
  </si>
  <si>
    <t>Metodologia Científica E Da Pesquisa (Eng Fl)</t>
  </si>
  <si>
    <t>Metodologia Científica E Da Pesquisa (Prod Flor)</t>
  </si>
  <si>
    <t>Metodologia Do Ensino Superior (Ciência Animal)</t>
  </si>
  <si>
    <t>Metodologia Do Ensino Superior (Ciências Amb)</t>
  </si>
  <si>
    <t>Metodologia Do Ensino Superior (Prod Veget)</t>
  </si>
  <si>
    <t>Propagação De Espécies Florestais (Eng Flor)</t>
  </si>
  <si>
    <t>Propagação De Espécies Florestais (Prod Veg)</t>
  </si>
  <si>
    <t>Recuperação De Áreas Degradadas (Ciência Animal)</t>
  </si>
  <si>
    <t>Redação E Apresentação De Trabalhos Científicos.</t>
  </si>
  <si>
    <t>Seminários Mestrado.</t>
  </si>
  <si>
    <t>A partir do dia 01/10/2021, serão 40h por licnça para tratamento de ibreresses particulares, sem vencimentos, durante o período de três anos, conforme aprovado em renião da Câmara de Ensio de Gaduação, de 17/08/2021</t>
  </si>
  <si>
    <t>POD AUTOMÁTICO</t>
  </si>
  <si>
    <t>!</t>
  </si>
  <si>
    <t>TOTAL GERAL</t>
  </si>
  <si>
    <t>TOTAL EFETIVOS</t>
  </si>
  <si>
    <t>TOTAL TEMPORÁRIOS</t>
  </si>
  <si>
    <t>POD</t>
  </si>
  <si>
    <t xml:space="preserve">  </t>
  </si>
  <si>
    <t>PERCENTUAL DE CARGA HORÁRIA</t>
  </si>
  <si>
    <t>sdasads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</si>
</sst>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0"/>
  </cellStyleXfs>
  <cellXfs count="239">
    <xf numFmtId="0" fontId="0" fillId="0" borderId="0" xfId="0"/>
    <xf numFmtId="0" fontId="0" fillId="0" borderId="0" xfId="0" applyProtection="1">
      <protection hidden="1"/>
    </xf>
    <xf numFmtId="0" fontId="3" fillId="5" borderId="16" xfId="0" applyFont="1" applyFill="1" applyBorder="1"/>
    <xf numFmtId="0" fontId="3" fillId="5" borderId="17" xfId="0" applyFont="1" applyFill="1" applyBorder="1"/>
    <xf numFmtId="0" fontId="3" fillId="5" borderId="15" xfId="0" applyFont="1" applyFill="1" applyBorder="1"/>
    <xf numFmtId="0" fontId="3" fillId="5" borderId="14" xfId="0" applyFont="1" applyFill="1" applyBorder="1"/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3" borderId="0" xfId="0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locked="0" hidden="1"/>
    </xf>
    <xf numFmtId="0" fontId="6" fillId="0" borderId="0" xfId="0" applyFont="1" applyProtection="1">
      <protection hidden="1"/>
    </xf>
    <xf numFmtId="43" fontId="0" fillId="0" borderId="0" xfId="1" applyFont="1" applyProtection="1">
      <protection hidden="1"/>
    </xf>
    <xf numFmtId="0" fontId="5" fillId="0" borderId="4" xfId="0" applyFont="1" applyBorder="1" applyProtection="1">
      <protection locked="0" hidden="1"/>
    </xf>
    <xf numFmtId="0" fontId="5" fillId="0" borderId="11" xfId="0" applyFont="1" applyBorder="1" applyProtection="1">
      <protection locked="0"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locked="0" hidden="1"/>
    </xf>
    <xf numFmtId="0" fontId="0" fillId="8" borderId="0" xfId="0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 wrapText="1"/>
      <protection hidden="1"/>
    </xf>
    <xf numFmtId="0" fontId="0" fillId="0" borderId="7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11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1" xfId="0" applyBorder="1" applyProtection="1">
      <protection hidden="1"/>
    </xf>
    <xf numFmtId="0" fontId="3" fillId="6" borderId="9" xfId="0" applyFont="1" applyFill="1" applyBorder="1" applyProtection="1">
      <protection hidden="1"/>
    </xf>
    <xf numFmtId="0" fontId="3" fillId="0" borderId="1" xfId="0" applyFont="1" applyBorder="1" applyProtection="1">
      <protection hidden="1"/>
    </xf>
    <xf numFmtId="0" fontId="0" fillId="0" borderId="3" xfId="0" applyBorder="1" applyProtection="1">
      <protection hidden="1"/>
    </xf>
    <xf numFmtId="0" fontId="0" fillId="0" borderId="6" xfId="0" applyBorder="1" applyProtection="1">
      <protection hidden="1"/>
    </xf>
    <xf numFmtId="0" fontId="7" fillId="0" borderId="1" xfId="0" applyFont="1" applyBorder="1" applyProtection="1">
      <protection hidden="1"/>
    </xf>
    <xf numFmtId="0" fontId="0" fillId="0" borderId="1" xfId="0" applyBorder="1" applyAlignment="1" applyProtection="1">
      <alignment vertical="center" wrapText="1"/>
      <protection hidden="1"/>
    </xf>
    <xf numFmtId="0" fontId="0" fillId="0" borderId="8" xfId="0" applyBorder="1" applyAlignment="1" applyProtection="1">
      <alignment vertical="center" wrapText="1"/>
      <protection hidden="1"/>
    </xf>
    <xf numFmtId="0" fontId="8" fillId="0" borderId="1" xfId="0" applyFont="1" applyBorder="1" applyProtection="1">
      <protection hidden="1"/>
    </xf>
    <xf numFmtId="0" fontId="0" fillId="0" borderId="3" xfId="0" applyBorder="1" applyAlignment="1" applyProtection="1">
      <alignment vertical="center" wrapText="1"/>
      <protection hidden="1"/>
    </xf>
    <xf numFmtId="0" fontId="0" fillId="0" borderId="6" xfId="0" applyBorder="1" applyAlignment="1" applyProtection="1">
      <alignment vertical="center" wrapText="1"/>
      <protection hidden="1"/>
    </xf>
    <xf numFmtId="0" fontId="0" fillId="6" borderId="1" xfId="0" applyFill="1" applyBorder="1" applyProtection="1">
      <protection hidden="1"/>
    </xf>
    <xf numFmtId="0" fontId="0" fillId="6" borderId="6" xfId="0" applyFill="1" applyBorder="1" applyProtection="1">
      <protection hidden="1"/>
    </xf>
    <xf numFmtId="0" fontId="0" fillId="6" borderId="1" xfId="0" applyFill="1" applyBorder="1" applyAlignment="1" applyProtection="1">
      <alignment horizontal="center"/>
      <protection hidden="1"/>
    </xf>
    <xf numFmtId="0" fontId="3" fillId="6" borderId="1" xfId="0" applyFont="1" applyFill="1" applyBorder="1" applyProtection="1">
      <protection hidden="1"/>
    </xf>
    <xf numFmtId="0" fontId="7" fillId="6" borderId="1" xfId="0" applyFont="1" applyFill="1" applyBorder="1" applyAlignment="1" applyProtection="1">
      <alignment horizontal="center"/>
      <protection hidden="1"/>
    </xf>
    <xf numFmtId="0" fontId="3" fillId="6" borderId="1" xfId="0" applyFont="1" applyFill="1" applyBorder="1" applyAlignment="1" applyProtection="1">
      <alignment horizontal="center"/>
      <protection hidden="1"/>
    </xf>
    <xf numFmtId="0" fontId="0" fillId="6" borderId="6" xfId="0" applyFill="1" applyBorder="1" applyAlignment="1" applyProtection="1">
      <alignment horizontal="center"/>
      <protection hidden="1"/>
    </xf>
    <xf numFmtId="0" fontId="0" fillId="0" borderId="7" xfId="0" applyBorder="1" applyAlignment="1" applyProtection="1">
      <alignment vertical="center" wrapText="1"/>
      <protection hidden="1"/>
    </xf>
    <xf numFmtId="0" fontId="0" fillId="6" borderId="1" xfId="0" applyFill="1" applyBorder="1" applyAlignment="1" applyProtection="1">
      <alignment vertical="center"/>
      <protection hidden="1"/>
    </xf>
    <xf numFmtId="0" fontId="0" fillId="6" borderId="6" xfId="0" applyFill="1" applyBorder="1" applyAlignment="1" applyProtection="1">
      <alignment vertical="center"/>
      <protection hidden="1"/>
    </xf>
    <xf numFmtId="0" fontId="3" fillId="6" borderId="6" xfId="0" applyFont="1" applyFill="1" applyBorder="1" applyAlignment="1" applyProtection="1">
      <alignment horizontal="center"/>
      <protection hidden="1"/>
    </xf>
    <xf numFmtId="0" fontId="0" fillId="6" borderId="9" xfId="0" applyFill="1" applyBorder="1" applyProtection="1">
      <protection hidden="1"/>
    </xf>
    <xf numFmtId="0" fontId="3" fillId="6" borderId="2" xfId="0" applyFont="1" applyFill="1" applyBorder="1" applyProtection="1">
      <protection hidden="1"/>
    </xf>
    <xf numFmtId="0" fontId="0" fillId="6" borderId="2" xfId="0" applyFill="1" applyBorder="1" applyProtection="1">
      <protection hidden="1"/>
    </xf>
    <xf numFmtId="0" fontId="0" fillId="6" borderId="1" xfId="0" applyFill="1" applyBorder="1" applyAlignment="1" applyProtection="1">
      <alignment horizontal="left"/>
      <protection hidden="1"/>
    </xf>
    <xf numFmtId="0" fontId="0" fillId="4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9" fillId="5" borderId="16" xfId="0" applyFont="1" applyFill="1" applyBorder="1"/>
    <xf numFmtId="0" fontId="9" fillId="5" borderId="17" xfId="0" applyFont="1" applyFill="1" applyBorder="1"/>
    <xf numFmtId="0" fontId="0" fillId="4" borderId="19" xfId="0" applyFill="1" applyBorder="1" applyAlignment="1">
      <alignment horizontal="center" vertical="center"/>
    </xf>
    <xf numFmtId="0" fontId="4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vertical="center" wrapText="1"/>
      <protection hidden="1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justify" vertical="center" wrapText="1"/>
      <protection hidden="1"/>
    </xf>
    <xf numFmtId="0" fontId="13" fillId="0" borderId="0" xfId="0" applyFont="1" applyAlignment="1" applyProtection="1">
      <alignment horizontal="justify" vertical="center"/>
      <protection hidden="1"/>
    </xf>
    <xf numFmtId="0" fontId="13" fillId="0" borderId="0" xfId="0" applyFont="1" applyAlignment="1" applyProtection="1">
      <alignment horizontal="justify"/>
      <protection hidden="1"/>
    </xf>
    <xf numFmtId="0" fontId="13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0" fillId="3" borderId="1" xfId="0" applyFill="1" applyBorder="1" applyProtection="1">
      <protection hidden="1"/>
    </xf>
    <xf numFmtId="0" fontId="0" fillId="3" borderId="9" xfId="0" applyFill="1" applyBorder="1" applyProtection="1">
      <protection hidden="1"/>
    </xf>
    <xf numFmtId="0" fontId="0" fillId="3" borderId="9" xfId="0" applyFill="1" applyBorder="1" applyAlignment="1" applyProtection="1">
      <alignment horizontal="right"/>
      <protection hidden="1"/>
    </xf>
    <xf numFmtId="0" fontId="0" fillId="3" borderId="8" xfId="0" applyFill="1" applyBorder="1" applyProtection="1">
      <protection hidden="1"/>
    </xf>
    <xf numFmtId="43" fontId="0" fillId="0" borderId="7" xfId="0" applyNumberFormat="1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6" borderId="8" xfId="0" applyFill="1" applyBorder="1" applyProtection="1">
      <protection locked="0"/>
    </xf>
    <xf numFmtId="0" fontId="0" fillId="6" borderId="2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14" fontId="0" fillId="6" borderId="2" xfId="0" applyNumberFormat="1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0" fillId="0" borderId="10" xfId="0" applyBorder="1"/>
    <xf numFmtId="0" fontId="6" fillId="0" borderId="0" xfId="0" applyFont="1"/>
    <xf numFmtId="0" fontId="0" fillId="6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9" fillId="0" borderId="0" xfId="0" applyFont="1"/>
    <xf numFmtId="0" fontId="4" fillId="0" borderId="0" xfId="0" applyFont="1"/>
    <xf numFmtId="0" fontId="0" fillId="4" borderId="1" xfId="0" applyFill="1" applyBorder="1"/>
    <xf numFmtId="0" fontId="4" fillId="0" borderId="10" xfId="0" applyFont="1" applyBorder="1"/>
    <xf numFmtId="43" fontId="4" fillId="3" borderId="11" xfId="1" applyFont="1" applyFill="1" applyBorder="1" applyAlignment="1" applyProtection="1">
      <alignment horizontal="center"/>
    </xf>
    <xf numFmtId="0" fontId="5" fillId="0" borderId="0" xfId="0" applyFont="1"/>
    <xf numFmtId="0" fontId="3" fillId="5" borderId="0" xfId="0" applyFont="1" applyFill="1"/>
    <xf numFmtId="0" fontId="0" fillId="5" borderId="0" xfId="0" applyFill="1"/>
    <xf numFmtId="0" fontId="9" fillId="5" borderId="0" xfId="0" applyFont="1" applyFill="1"/>
    <xf numFmtId="0" fontId="4" fillId="5" borderId="0" xfId="0" applyFont="1" applyFill="1"/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0" fillId="5" borderId="17" xfId="0" applyFill="1" applyBorder="1"/>
    <xf numFmtId="0" fontId="0" fillId="5" borderId="14" xfId="0" applyFill="1" applyBorder="1"/>
    <xf numFmtId="0" fontId="0" fillId="4" borderId="18" xfId="0" applyFill="1" applyBorder="1" applyAlignment="1">
      <alignment horizontal="center" vertical="center"/>
    </xf>
    <xf numFmtId="0" fontId="0" fillId="5" borderId="9" xfId="0" applyFill="1" applyBorder="1"/>
    <xf numFmtId="0" fontId="0" fillId="5" borderId="1" xfId="0" applyFill="1" applyBorder="1"/>
    <xf numFmtId="0" fontId="0" fillId="5" borderId="9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8" borderId="0" xfId="0" applyFont="1" applyFill="1"/>
    <xf numFmtId="0" fontId="5" fillId="4" borderId="9" xfId="0" applyFont="1" applyFill="1" applyBorder="1"/>
    <xf numFmtId="0" fontId="5" fillId="4" borderId="12" xfId="0" applyFont="1" applyFill="1" applyBorder="1"/>
    <xf numFmtId="0" fontId="0" fillId="4" borderId="12" xfId="0" applyFill="1" applyBorder="1"/>
    <xf numFmtId="0" fontId="0" fillId="4" borderId="8" xfId="0" applyFill="1" applyBorder="1"/>
    <xf numFmtId="0" fontId="14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3" fillId="0" borderId="10" xfId="0" applyFont="1" applyBorder="1"/>
    <xf numFmtId="0" fontId="0" fillId="4" borderId="1" xfId="0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5" borderId="2" xfId="0" applyFont="1" applyFill="1" applyBorder="1"/>
    <xf numFmtId="0" fontId="3" fillId="5" borderId="2" xfId="0" applyFont="1" applyFill="1" applyBorder="1"/>
    <xf numFmtId="0" fontId="0" fillId="5" borderId="2" xfId="0" applyFill="1" applyBorder="1"/>
    <xf numFmtId="0" fontId="3" fillId="5" borderId="9" xfId="0" applyFont="1" applyFill="1" applyBorder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10" xfId="0" applyFill="1" applyBorder="1"/>
    <xf numFmtId="0" fontId="12" fillId="9" borderId="2" xfId="0" applyFont="1" applyFill="1" applyBorder="1" applyAlignment="1">
      <alignment horizontal="center" wrapText="1"/>
    </xf>
    <xf numFmtId="14" fontId="3" fillId="0" borderId="0" xfId="0" applyNumberFormat="1" applyFont="1"/>
    <xf numFmtId="14" fontId="3" fillId="5" borderId="2" xfId="0" applyNumberFormat="1" applyFont="1" applyFill="1" applyBorder="1"/>
    <xf numFmtId="14" fontId="0" fillId="5" borderId="2" xfId="0" applyNumberFormat="1" applyFill="1" applyBorder="1"/>
    <xf numFmtId="14" fontId="3" fillId="5" borderId="9" xfId="0" applyNumberFormat="1" applyFont="1" applyFill="1" applyBorder="1"/>
    <xf numFmtId="14" fontId="0" fillId="5" borderId="9" xfId="0" applyNumberFormat="1" applyFill="1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6" borderId="9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/>
    </xf>
    <xf numFmtId="0" fontId="9" fillId="0" borderId="10" xfId="0" applyFont="1" applyBorder="1"/>
    <xf numFmtId="0" fontId="4" fillId="3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1" xfId="0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3" xfId="0" applyFill="1" applyBorder="1"/>
    <xf numFmtId="0" fontId="0" fillId="3" borderId="11" xfId="0" applyFill="1" applyBorder="1"/>
    <xf numFmtId="0" fontId="12" fillId="5" borderId="17" xfId="0" applyFont="1" applyFill="1" applyBorder="1"/>
    <xf numFmtId="0" fontId="0" fillId="0" borderId="0" xfId="0" applyAlignment="1">
      <alignment horizontal="left" vertical="center"/>
    </xf>
    <xf numFmtId="0" fontId="0" fillId="6" borderId="9" xfId="0" applyFill="1" applyBorder="1" applyAlignment="1" applyProtection="1">
      <alignment horizontal="center" vertical="center" wrapText="1"/>
      <protection locked="0"/>
    </xf>
    <xf numFmtId="0" fontId="0" fillId="6" borderId="8" xfId="0" applyFill="1" applyBorder="1" applyAlignment="1" applyProtection="1">
      <alignment horizontal="center" vertical="center" wrapText="1"/>
      <protection locked="0"/>
    </xf>
    <xf numFmtId="14" fontId="0" fillId="6" borderId="9" xfId="0" applyNumberFormat="1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10" borderId="0" xfId="0" applyFill="1"/>
    <xf numFmtId="0" fontId="0" fillId="10" borderId="0" xfId="0" quotePrefix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3" borderId="1" xfId="2" applyNumberFormat="1" applyFont="1" applyFill="1" applyBorder="1" applyAlignment="1" applyProtection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6" borderId="1" xfId="0" applyFill="1" applyBorder="1" applyAlignment="1" applyProtection="1">
      <alignment horizontal="center"/>
      <protection locked="0"/>
    </xf>
    <xf numFmtId="0" fontId="9" fillId="4" borderId="1" xfId="0" applyFont="1" applyFill="1" applyBorder="1" applyAlignment="1">
      <alignment horizontal="center" vertical="center"/>
    </xf>
    <xf numFmtId="0" fontId="0" fillId="6" borderId="9" xfId="0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0" fontId="0" fillId="6" borderId="8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 wrapText="1"/>
    </xf>
    <xf numFmtId="0" fontId="12" fillId="9" borderId="8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0" fillId="6" borderId="1" xfId="0" applyFill="1" applyBorder="1" applyAlignment="1" applyProtection="1">
      <alignment horizontal="left"/>
      <protection locked="0"/>
    </xf>
    <xf numFmtId="14" fontId="0" fillId="6" borderId="9" xfId="0" applyNumberFormat="1" applyFill="1" applyBorder="1" applyAlignment="1" applyProtection="1">
      <alignment horizontal="center" vertical="center" wrapText="1"/>
      <protection locked="0"/>
    </xf>
    <xf numFmtId="14" fontId="0" fillId="6" borderId="8" xfId="0" applyNumberFormat="1" applyFill="1" applyBorder="1" applyAlignment="1" applyProtection="1">
      <alignment horizontal="center" vertical="center" wrapText="1"/>
      <protection locked="0"/>
    </xf>
    <xf numFmtId="0" fontId="15" fillId="3" borderId="9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6" borderId="2" xfId="0" applyFont="1" applyFill="1" applyBorder="1" applyAlignment="1" applyProtection="1">
      <alignment horizontal="center"/>
      <protection locked="0"/>
    </xf>
    <xf numFmtId="0" fontId="5" fillId="6" borderId="13" xfId="0" applyFont="1" applyFill="1" applyBorder="1" applyAlignment="1" applyProtection="1">
      <alignment horizontal="center"/>
      <protection locked="0"/>
    </xf>
    <xf numFmtId="0" fontId="5" fillId="6" borderId="3" xfId="0" applyFont="1" applyFill="1" applyBorder="1" applyAlignment="1" applyProtection="1">
      <alignment horizontal="center"/>
      <protection locked="0"/>
    </xf>
    <xf numFmtId="0" fontId="5" fillId="6" borderId="4" xfId="0" applyFont="1" applyFill="1" applyBorder="1" applyAlignment="1" applyProtection="1">
      <alignment horizontal="center"/>
      <protection locked="0"/>
    </xf>
    <xf numFmtId="0" fontId="5" fillId="6" borderId="11" xfId="0" applyFont="1" applyFill="1" applyBorder="1" applyAlignment="1" applyProtection="1">
      <alignment horizontal="center"/>
      <protection locked="0"/>
    </xf>
    <xf numFmtId="0" fontId="5" fillId="6" borderId="5" xfId="0" applyFont="1" applyFill="1" applyBorder="1" applyAlignment="1" applyProtection="1">
      <alignment horizont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6" borderId="7" xfId="0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1" xfId="0" applyFont="1" applyBorder="1"/>
    <xf numFmtId="0" fontId="0" fillId="0" borderId="1" xfId="0" applyBorder="1"/>
    <xf numFmtId="0" fontId="1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Porcentagem" xfId="2" builtinId="5"/>
    <cellStyle name="Vírgula" xfId="1" builtinId="3"/>
  </cellStyles>
  <dxfs count="10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CC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1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1" hidden="1"/>
    </dxf>
    <dxf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border outline="0">
        <top style="thin">
          <color indexed="64"/>
        </top>
      </border>
    </dxf>
    <dxf>
      <protection hidden="1"/>
    </dxf>
    <dxf>
      <border outline="0"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0" hidden="1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1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1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1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1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1"/>
    </dxf>
    <dxf>
      <protection hidden="1"/>
    </dxf>
    <dxf>
      <protection hidden="1"/>
    </dxf>
    <dxf>
      <protection hidden="1"/>
    </dxf>
    <dxf>
      <protection hidden="1"/>
    </dxf>
    <dxf>
      <protection hidden="1"/>
    </dxf>
    <dxf>
      <fill>
        <patternFill patternType="none">
          <fgColor indexed="64"/>
          <bgColor auto="1"/>
        </patternFill>
      </fill>
      <protection hidden="1"/>
    </dxf>
    <dxf>
      <fill>
        <patternFill patternType="none">
          <fgColor indexed="64"/>
          <bgColor auto="1"/>
        </patternFill>
      </fill>
      <protection hidden="1"/>
    </dxf>
    <dxf>
      <fill>
        <patternFill patternType="none">
          <fgColor indexed="64"/>
          <bgColor auto="1"/>
        </patternFill>
      </fill>
      <protection hidden="1"/>
    </dxf>
    <dxf>
      <fill>
        <patternFill patternType="none">
          <fgColor indexed="64"/>
          <bgColor auto="1"/>
        </patternFill>
      </fill>
      <protection hidden="1"/>
    </dxf>
    <dxf>
      <protection hidden="1"/>
    </dxf>
    <dxf>
      <alignment horizontal="center" vertical="bottom" textRotation="0" wrapText="0" indent="0" justifyLastLine="0" shrinkToFit="0" readingOrder="0"/>
      <protection hidden="1"/>
    </dxf>
    <dxf>
      <protection hidden="1"/>
    </dxf>
    <dxf>
      <protection hidden="1"/>
    </dxf>
    <dxf>
      <protection hidden="1"/>
    </dxf>
    <dxf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protection hidden="1"/>
    </dxf>
    <dxf>
      <fill>
        <patternFill patternType="none">
          <fgColor indexed="64"/>
          <bgColor indexed="65"/>
        </patternFill>
      </fill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protection hidden="1"/>
    </dxf>
    <dxf>
      <fill>
        <patternFill patternType="none">
          <fgColor indexed="64"/>
          <bgColor auto="1"/>
        </patternFill>
      </fill>
      <protection locked="0" hidden="1"/>
    </dxf>
    <dxf>
      <fill>
        <patternFill patternType="none">
          <fgColor indexed="64"/>
          <bgColor auto="1"/>
        </patternFill>
      </fill>
      <protection hidden="1"/>
    </dxf>
    <dxf>
      <fill>
        <patternFill patternType="none">
          <fgColor indexed="64"/>
          <bgColor auto="1"/>
        </patternFill>
      </fill>
      <protection hidden="1"/>
    </dxf>
    <dxf>
      <fill>
        <patternFill patternType="none">
          <fgColor indexed="64"/>
          <bgColor auto="1"/>
        </patternFill>
      </fill>
      <protection hidden="1"/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88941F-4A72-4029-B103-D42F84393190}" name="Ltitulacao" displayName="Ltitulacao" ref="A16:A21" totalsRowShown="0" headerRowDxfId="1009" dataDxfId="1008">
  <autoFilter ref="A16:A21" xr:uid="{8C400BF5-97D0-43DA-8E96-B9DE6149EC3B}"/>
  <tableColumns count="1">
    <tableColumn id="1" xr3:uid="{40F16357-2162-46EE-9523-FB3BCA02AF81}" name="Titulação" dataDxfId="100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F550FD-DD0A-44D9-A7E6-880700A6629B}" name="Tabela2" displayName="Tabela2" ref="A23:A27" totalsRowShown="0" headerRowDxfId="1006" dataDxfId="1005">
  <autoFilter ref="A23:A27" xr:uid="{76E151AF-27E8-4CD0-BA69-031F5E398B25}"/>
  <tableColumns count="1">
    <tableColumn id="1" xr3:uid="{64211A74-2ECF-48D7-A9C3-6E2EB5D40169}" name="Regime de Trabalho" dataDxfId="100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EB87D3-173B-44F1-B46F-2196E75141D9}" name="Tabela3" displayName="Tabela3" ref="A29:A34" totalsRowShown="0" headerRowDxfId="1003" dataDxfId="1002">
  <autoFilter ref="A29:A34" xr:uid="{F0EEBF4E-BD16-47C3-B5A0-B6D84F265959}"/>
  <tableColumns count="1">
    <tableColumn id="1" xr3:uid="{EB6D53FC-FEDB-4892-A727-D408C9D5DAFB}" name="Classe Profissional" dataDxfId="100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29F3D9A-4313-4E6C-8203-2D7E5258E436}" name="Tabela5" displayName="Tabela5" ref="A84:D90" totalsRowShown="0" headerRowDxfId="1000" dataDxfId="999">
  <autoFilter ref="A84:D90" xr:uid="{8E6619C4-63C1-40CD-BA6C-993C96ECB280}"/>
  <tableColumns count="4">
    <tableColumn id="1" xr3:uid="{4C3C236E-F167-418A-AF39-531B84EBD52D}" name="Atividades de Orientação" dataDxfId="998"/>
    <tableColumn id="2" xr3:uid="{3C1EB2F7-1EC4-4135-934E-FA95C1D53A5E}" name="CH Mínima" dataDxfId="997"/>
    <tableColumn id="3" xr3:uid="{9B9619B6-0BFE-407D-B6DF-0472C4AE4A83}" name="CH Máxima Unit" dataDxfId="996"/>
    <tableColumn id="4" xr3:uid="{2DD350DA-9448-488F-B35D-36116117C0F5}" name="Teto" dataDxfId="99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6E68E7B-F004-4523-BB02-1D391BDF3AFE}" name="TChefeDpto" displayName="TChefeDpto" ref="A1:B7" totalsRowShown="0" headerRowDxfId="994" dataDxfId="993">
  <autoFilter ref="A1:B7" xr:uid="{CE614379-5CCD-407F-8EF7-C02DBF278E47}"/>
  <tableColumns count="2">
    <tableColumn id="1" xr3:uid="{6065245F-5A81-4BCC-97A6-7399299C4325}" name="Departamento" dataDxfId="992"/>
    <tableColumn id="2" xr3:uid="{BD76F15B-6F22-467E-B3B5-E3F97A11F6F9}" name="Chefe de Departamento" dataDxfId="99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C820DC-179A-40D1-929A-027F67C665C5}" name="TabPesquisa" displayName="TabPesquisa" ref="A94:C99" totalsRowShown="0" headerRowDxfId="990" dataDxfId="989">
  <autoFilter ref="A94:C99" xr:uid="{5CFF37C4-F772-4AB7-8A34-EEB2516AFE41}"/>
  <tableColumns count="3">
    <tableColumn id="1" xr3:uid="{F7DEF0F1-CAC5-4F59-88CE-4BD8D46EB30E}" name="PESQUISA" dataDxfId="988"/>
    <tableColumn id="2" xr3:uid="{7D69474F-B530-40FE-8E78-3972EFE36299}" name="Limite de horas Semanais" dataDxfId="987"/>
    <tableColumn id="3" xr3:uid="{08B5B8FA-DA59-4936-8947-5A8D08525C98}" name="Horas" dataDxfId="98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2B1FFF8-FDFF-44C1-8567-4233FDC6F797}" name="TFunçõesAdm" displayName="TFunçõesAdm" ref="A43:C78" totalsRowShown="0" headerRowDxfId="985" dataDxfId="984">
  <autoFilter ref="A43:C78" xr:uid="{52349E06-387F-4636-99D3-0EA3578EC333}"/>
  <tableColumns count="3">
    <tableColumn id="1" xr3:uid="{6E0E61C0-E7CD-47F7-85D2-4EEB6D6A5DD7}" name="FUNÇÕES - ADMINISTRATIVA" dataDxfId="983"/>
    <tableColumn id="2" xr3:uid="{07AA0EA7-7679-4344-BDE1-09D265B8A1C2}" name="CH ADM" dataDxfId="982"/>
    <tableColumn id="3" xr3:uid="{F843C7E9-5EAA-4488-BD94-CCD3A1F56AE4}" name="Redutor carga horária de Ensino" dataDxfId="98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41BD91-A4AC-42A5-A4F8-7B75E5C66559}" name="TCapes" displayName="TCapes" ref="A37:C39" totalsRowShown="0" headerRowDxfId="980" dataDxfId="978" headerRowBorderDxfId="979" tableBorderDxfId="977">
  <autoFilter ref="A37:C39" xr:uid="{69918863-3192-47E7-95AB-2E66C9F72A6D}"/>
  <tableColumns count="3">
    <tableColumn id="1" xr3:uid="{FDDBBF77-6345-4770-B04B-B1AA53D450A1}" name="Professor é vinculado à programas pós graduação Recomendado pela CAPES?" dataDxfId="976"/>
    <tableColumn id="2" xr3:uid="{5DFF8426-4805-4945-8EBC-D2DEDD56E130}" name="Resultado 1" dataDxfId="975"/>
    <tableColumn id="3" xr3:uid="{E6D14838-A6A5-4B00-8607-1AE17878AEC2}" name="Resultado 2" dataDxfId="97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37A1CE2-EC93-4335-AC11-859265BC1E10}" name="Tabela11" displayName="Tabela11" ref="A102:C104" totalsRowShown="0" headerRowDxfId="973" dataDxfId="972">
  <autoFilter ref="A102:C104" xr:uid="{58C48AE0-AD35-4A85-9B2B-9DA53B20F059}"/>
  <tableColumns count="3">
    <tableColumn id="1" xr3:uid="{23FE49EA-66C9-42C0-8FBB-F316168C4E6B}" name="Pesquisa 2" dataDxfId="971"/>
    <tableColumn id="2" xr3:uid="{98DB3441-28F4-44E4-857D-4C6F33517C46}" name="CH Mínima" dataDxfId="970"/>
    <tableColumn id="3" xr3:uid="{57A24030-1D06-4BE4-A710-9F72AFCB377F}" name="CH Máxima" dataDxfId="96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49D7057-70D7-4A47-AE73-EF39280B57FA}" name="Tabela20" displayName="Tabela20" ref="A107:C109" totalsRowShown="0" headerRowDxfId="968" dataDxfId="967">
  <autoFilter ref="A107:C109" xr:uid="{228AA164-B52D-46BF-8612-2300CBC3DF3B}"/>
  <tableColumns count="3">
    <tableColumn id="1" xr3:uid="{DF89FE15-E664-4A60-A6CF-F8EAD365A7FE}" name="Ensino" dataDxfId="966"/>
    <tableColumn id="2" xr3:uid="{0B0F9C7E-3E1F-43A5-9563-DFDF660C0C5B}" name="CH Mínima" dataDxfId="965"/>
    <tableColumn id="3" xr3:uid="{9DD7D41E-4ED8-4184-8511-101C9A4DDC4A}" name="CH Máxima" dataDxfId="96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68D336B-AED3-42D1-B424-1C6AC73899B8}" name="Tabela21" displayName="Tabela21" ref="A112:C117" totalsRowShown="0" headerRowDxfId="963" dataDxfId="962">
  <autoFilter ref="A112:C117" xr:uid="{3E3524B2-D48C-4C93-9C8F-D228AAA27C2D}"/>
  <tableColumns count="3">
    <tableColumn id="1" xr3:uid="{83B05F92-FCC1-4DEE-BF1F-2B16FD2522CD}" name="Extensão" dataDxfId="961"/>
    <tableColumn id="2" xr3:uid="{0A8707A4-837E-4EC1-9F23-305B19F72BEC}" name="CH Mínima" dataDxfId="960"/>
    <tableColumn id="3" xr3:uid="{994232BD-CCC8-4710-AC28-2D9D371F35E9}" name="CH Máxima" dataDxfId="95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D2F62F6-179E-45E9-8706-89AFFC25272F}" name="TGradeCurricular" displayName="TGradeCurricular" ref="A1:C436" totalsRowShown="0" headerRowDxfId="958" dataDxfId="957">
  <autoFilter ref="A1:C436" xr:uid="{BA225EFF-98E3-4174-A5D3-89143F669BFA}"/>
  <sortState xmlns:xlrd2="http://schemas.microsoft.com/office/spreadsheetml/2017/richdata2" ref="A2:C436">
    <sortCondition ref="A2"/>
  </sortState>
  <tableColumns count="3">
    <tableColumn id="1" xr3:uid="{2430920E-7674-49FF-B9E3-250E1AFC93E4}" name="Disciplina" dataDxfId="956"/>
    <tableColumn id="2" xr3:uid="{A2119F13-FC98-4D57-82D6-51E298E158F4}" name="Curso" dataDxfId="955"/>
    <tableColumn id="3" xr3:uid="{EBB41D96-7175-4DA2-A8B8-474CDC309EBC}" name="FASE" dataDxfId="95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BEC62C2-D50B-4AA2-A5DB-A80CC3C94CD6}" name="Tabela22" displayName="Tabela22" ref="A1:B373" totalsRowShown="0" headerRowDxfId="953" dataDxfId="952">
  <autoFilter ref="A1:B373" xr:uid="{A88DC734-5B9C-401C-9938-D80C75E89FD6}"/>
  <sortState xmlns:xlrd2="http://schemas.microsoft.com/office/spreadsheetml/2017/richdata2" ref="A2:B373">
    <sortCondition ref="A1"/>
  </sortState>
  <tableColumns count="2">
    <tableColumn id="1" xr3:uid="{DEBCF068-C7AA-4588-9874-1D7B2510FC04}" name="NOME DA DISCIPLINA" dataDxfId="951"/>
    <tableColumn id="2" xr3:uid="{88C3C9A7-43A1-48E4-AC96-0A6AB76EDC6D}" name="PROGRAMA" dataDxfId="95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49D3D35-4183-4492-B1BC-D1783F86EA7E}" name="TProfessores" displayName="TProfessores" ref="A1:J156" totalsRowShown="0" headerRowDxfId="949" dataDxfId="947" headerRowBorderDxfId="948" tableBorderDxfId="946" totalsRowBorderDxfId="945">
  <autoFilter ref="A1:J156" xr:uid="{FEB4443B-BC36-483E-906C-8FF35F5444CF}"/>
  <sortState xmlns:xlrd2="http://schemas.microsoft.com/office/spreadsheetml/2017/richdata2" ref="A2:J156">
    <sortCondition ref="A2"/>
  </sortState>
  <tableColumns count="10">
    <tableColumn id="1" xr3:uid="{668CDA97-7566-4739-8083-06C5D8D2FD76}" name="Nome do Professor (a)" dataDxfId="944"/>
    <tableColumn id="2" xr3:uid="{DA04257B-EE32-4938-B382-F8782063B286}" name="Departamento" dataDxfId="943"/>
    <tableColumn id="3" xr3:uid="{9238E868-3E1F-45A0-8870-195DC4DD6CD8}" name="Categoria Funcional" dataDxfId="942"/>
    <tableColumn id="4" xr3:uid="{2723E6D7-B763-4C3D-89E1-3E6A333BB8B9}" name="Matrícula" dataDxfId="941"/>
    <tableColumn id="5" xr3:uid="{90A85414-004C-4081-A12B-074B1E1E7057}" name="Titulação_x000a_(D, M, E, G)" dataDxfId="940"/>
    <tableColumn id="6" xr3:uid="{C8536B74-1F06-4174-8161-43431C1C882B}" name="Regime de Trabalho_x000a_(10, 20, 30 ou 40h)" dataDxfId="939"/>
    <tableColumn id="7" xr3:uid="{AC731C72-0740-41C9-ACFF-DF5EF2CDCE85}" name="DI" dataDxfId="938"/>
    <tableColumn id="9" xr3:uid="{B7503E0E-CF52-473C-908A-C6E61593151A}" name="Classe Profissional" dataDxfId="937"/>
    <tableColumn id="8" xr3:uid="{9A5B2C24-11DE-46FA-9ABC-D2D8B125A2C9}" name="Afastamento" dataDxfId="936"/>
    <tableColumn id="10" xr3:uid="{376C6DE3-414C-473C-B048-9A2B97312DB0}" name="Pesquisar" dataDxfId="935">
      <calculatedColumnFormula>ISNUMBER(SEARCH($K$1,A:A))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comments" Target="../comments3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63C6-1325-4D5B-954B-942748DAA59A}">
  <dimension ref="A1:B36"/>
  <sheetViews>
    <sheetView showGridLines="0" zoomScale="78" zoomScaleNormal="78" workbookViewId="0">
      <selection activeCell="B37" sqref="B37"/>
    </sheetView>
  </sheetViews>
  <sheetFormatPr defaultRowHeight="15" x14ac:dyDescent="0.25"/>
  <sheetData>
    <row r="1" spans="1:2" x14ac:dyDescent="0.25">
      <c r="A1" t="s">
        <v>1385</v>
      </c>
    </row>
    <row r="2" spans="1:2" x14ac:dyDescent="0.25">
      <c r="A2" t="s">
        <v>1364</v>
      </c>
    </row>
    <row r="3" spans="1:2" x14ac:dyDescent="0.25">
      <c r="A3" t="s">
        <v>1365</v>
      </c>
    </row>
    <row r="4" spans="1:2" x14ac:dyDescent="0.25">
      <c r="A4" t="s">
        <v>1366</v>
      </c>
    </row>
    <row r="5" spans="1:2" x14ac:dyDescent="0.25">
      <c r="A5" t="s">
        <v>1367</v>
      </c>
    </row>
    <row r="6" spans="1:2" x14ac:dyDescent="0.25">
      <c r="A6" s="80"/>
      <c r="B6" t="s">
        <v>1386</v>
      </c>
    </row>
    <row r="7" spans="1:2" x14ac:dyDescent="0.25">
      <c r="A7" s="81"/>
      <c r="B7" t="s">
        <v>76</v>
      </c>
    </row>
    <row r="8" spans="1:2" x14ac:dyDescent="0.25">
      <c r="A8" s="84"/>
      <c r="B8" t="s">
        <v>77</v>
      </c>
    </row>
    <row r="10" spans="1:2" x14ac:dyDescent="0.25">
      <c r="A10" t="s">
        <v>1368</v>
      </c>
    </row>
    <row r="11" spans="1:2" x14ac:dyDescent="0.25">
      <c r="A11" t="s">
        <v>1369</v>
      </c>
    </row>
    <row r="12" spans="1:2" x14ac:dyDescent="0.25">
      <c r="A12" t="s">
        <v>1370</v>
      </c>
    </row>
    <row r="13" spans="1:2" x14ac:dyDescent="0.25">
      <c r="B13" t="s">
        <v>1371</v>
      </c>
    </row>
    <row r="15" spans="1:2" x14ac:dyDescent="0.25">
      <c r="A15" t="s">
        <v>1372</v>
      </c>
    </row>
    <row r="16" spans="1:2" x14ac:dyDescent="0.25">
      <c r="B16" t="s">
        <v>1373</v>
      </c>
    </row>
    <row r="17" spans="1:2" x14ac:dyDescent="0.25">
      <c r="B17" t="s">
        <v>1374</v>
      </c>
    </row>
    <row r="18" spans="1:2" x14ac:dyDescent="0.25">
      <c r="A18" t="s">
        <v>1375</v>
      </c>
    </row>
    <row r="19" spans="1:2" x14ac:dyDescent="0.25">
      <c r="B19" t="s">
        <v>1377</v>
      </c>
    </row>
    <row r="20" spans="1:2" x14ac:dyDescent="0.25">
      <c r="B20" t="s">
        <v>1376</v>
      </c>
    </row>
    <row r="21" spans="1:2" x14ac:dyDescent="0.25">
      <c r="A21" t="s">
        <v>39</v>
      </c>
    </row>
    <row r="22" spans="1:2" x14ac:dyDescent="0.25">
      <c r="B22" t="s">
        <v>1378</v>
      </c>
    </row>
    <row r="23" spans="1:2" x14ac:dyDescent="0.25">
      <c r="A23" t="s">
        <v>45</v>
      </c>
    </row>
    <row r="24" spans="1:2" x14ac:dyDescent="0.25">
      <c r="B24" t="s">
        <v>1379</v>
      </c>
    </row>
    <row r="25" spans="1:2" x14ac:dyDescent="0.25">
      <c r="A25" t="s">
        <v>46</v>
      </c>
    </row>
    <row r="26" spans="1:2" x14ac:dyDescent="0.25">
      <c r="B26" t="s">
        <v>1380</v>
      </c>
    </row>
    <row r="27" spans="1:2" x14ac:dyDescent="0.25">
      <c r="A27" t="s">
        <v>34</v>
      </c>
    </row>
    <row r="28" spans="1:2" x14ac:dyDescent="0.25">
      <c r="B28" t="s">
        <v>1381</v>
      </c>
    </row>
    <row r="29" spans="1:2" x14ac:dyDescent="0.25">
      <c r="A29" t="s">
        <v>1382</v>
      </c>
    </row>
    <row r="30" spans="1:2" x14ac:dyDescent="0.25">
      <c r="B30" t="s">
        <v>1380</v>
      </c>
    </row>
    <row r="31" spans="1:2" x14ac:dyDescent="0.25">
      <c r="A31" t="s">
        <v>1383</v>
      </c>
    </row>
    <row r="32" spans="1:2" x14ac:dyDescent="0.25">
      <c r="B32" t="s">
        <v>1384</v>
      </c>
    </row>
    <row r="33" spans="1:2" x14ac:dyDescent="0.25">
      <c r="A33" t="s">
        <v>1387</v>
      </c>
    </row>
    <row r="34" spans="1:2" x14ac:dyDescent="0.25">
      <c r="B34" t="s">
        <v>1388</v>
      </c>
    </row>
    <row r="35" spans="1:2" x14ac:dyDescent="0.25">
      <c r="A35" t="s">
        <v>1389</v>
      </c>
    </row>
    <row r="36" spans="1:2" x14ac:dyDescent="0.25">
      <c r="B36" t="s">
        <v>1390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8298-E502-48DE-B001-6ACA69B7E161}">
  <sheetPr>
    <pageSetUpPr fitToPage="1"/>
  </sheetPr>
  <dimension ref="A1:W148"/>
  <sheetViews>
    <sheetView showGridLines="0" zoomScale="68" zoomScaleNormal="68" workbookViewId="0">
      <selection activeCell="J13" sqref="J13:K13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396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211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8ª</v>
      </c>
      <c r="G12" s="184"/>
      <c r="H12" s="73">
        <v>2</v>
      </c>
      <c r="I12" s="73">
        <v>2</v>
      </c>
      <c r="J12" s="180">
        <v>3</v>
      </c>
      <c r="K12" s="181"/>
      <c r="L12" s="2">
        <f t="shared" ref="L12:L21" si="0">SUM(H12:I12)</f>
        <v>4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</v>
      </c>
      <c r="R12" s="54">
        <f t="shared" ref="R12:R21" si="5">IFERROR(_xlfn.IFS($M$32=1,L12,$M$32=2,L12,$M$32=3,(L12*1.3),$M$32&gt;3,(L12*1.5)),0)</f>
        <v>6</v>
      </c>
    </row>
    <row r="13" spans="1:22" ht="15" customHeight="1" x14ac:dyDescent="0.25">
      <c r="A13" s="180" t="s">
        <v>226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Eletiva</v>
      </c>
      <c r="G13" s="184"/>
      <c r="H13" s="73">
        <v>2</v>
      </c>
      <c r="I13" s="73">
        <v>0</v>
      </c>
      <c r="J13" s="185">
        <v>3</v>
      </c>
      <c r="K13" s="180"/>
      <c r="L13" s="2">
        <f t="shared" si="0"/>
        <v>2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1</v>
      </c>
      <c r="R13" s="54">
        <f t="shared" si="5"/>
        <v>3</v>
      </c>
    </row>
    <row r="14" spans="1:22" ht="15" customHeight="1" x14ac:dyDescent="0.25">
      <c r="A14" s="180" t="s">
        <v>852</v>
      </c>
      <c r="B14" s="181"/>
      <c r="C14" s="182"/>
      <c r="D14" s="183" t="str">
        <f>IFERROR(VLOOKUP(A14,TGradeCurricular[],2,0),"")</f>
        <v>Agronomia</v>
      </c>
      <c r="E14" s="184"/>
      <c r="F14" s="183" t="str">
        <f>IFERROR(VLOOKUP(A14,TGradeCurricular[],3,0),"")</f>
        <v>Eletiva</v>
      </c>
      <c r="G14" s="184"/>
      <c r="H14" s="73">
        <v>2</v>
      </c>
      <c r="I14" s="73">
        <v>0</v>
      </c>
      <c r="J14" s="185">
        <v>3</v>
      </c>
      <c r="K14" s="180"/>
      <c r="L14" s="2">
        <f t="shared" si="0"/>
        <v>2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1</v>
      </c>
      <c r="R14" s="54">
        <f t="shared" si="5"/>
        <v>3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IFERROR(VLOOKUP(Aike!$A23,'Grade Pós'!A:B,2,0),"")</f>
        <v>PROGRAMA</v>
      </c>
      <c r="E23" s="200"/>
      <c r="F23" s="200"/>
      <c r="G23" s="184"/>
      <c r="H23" s="180">
        <v>1</v>
      </c>
      <c r="I23" s="182"/>
      <c r="J23" s="185">
        <v>1</v>
      </c>
      <c r="K23" s="185"/>
      <c r="L23" s="2">
        <f>SUM(H23:I23)</f>
        <v>1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0.5</v>
      </c>
      <c r="R23" s="54">
        <f t="shared" ref="R23:R32" si="9">IFERROR(_xlfn.IFS($M$32=1,L23,$M$32=2,L23,$M$32=3,(L23*1.3),$M$32&gt;3,(L23*1.5)),0)</f>
        <v>1.5</v>
      </c>
    </row>
    <row r="24" spans="1:22" ht="26.25" customHeight="1" x14ac:dyDescent="0.25">
      <c r="A24" s="180" t="s">
        <v>831</v>
      </c>
      <c r="B24" s="181"/>
      <c r="C24" s="182"/>
      <c r="D24" s="183" t="str">
        <f>IFERROR(VLOOKUP(Aike!$A24,'Grade Pós'!A:B,2,0),"")</f>
        <v>PROGRAMA</v>
      </c>
      <c r="E24" s="200"/>
      <c r="F24" s="200"/>
      <c r="G24" s="184"/>
      <c r="H24" s="180">
        <v>0</v>
      </c>
      <c r="I24" s="182"/>
      <c r="J24" s="180">
        <v>0</v>
      </c>
      <c r="K24" s="182"/>
      <c r="L24" s="2">
        <f>SUM(H24:I24)</f>
        <v>0</v>
      </c>
      <c r="M24" s="3">
        <f>IF(A24&lt;&gt;0,1,0)</f>
        <v>1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IFERROR(VLOOKUP(Aike!$A25,'Grade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IFERROR(VLOOKUP(Aike!$A26,'Grade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IFERROR(VLOOKUP(Aike!$A27,'Grade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IFERROR(VLOOKUP(Aike!$A28,'Grade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IFERROR(VLOOKUP(Aike!$A29,'Grade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IFERROR(VLOOKUP(Aike!$A30,'Grade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IFERROR(VLOOKUP(Aike!$A31,'Grade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9</v>
      </c>
      <c r="K32" s="99">
        <f>SUM(J12:J31)</f>
        <v>10</v>
      </c>
      <c r="L32" s="4">
        <f>SUM(L12:L31)</f>
        <v>9</v>
      </c>
      <c r="M32" s="5">
        <f>SUM(M12:M31)</f>
        <v>5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4.5</v>
      </c>
      <c r="R32" s="101">
        <f t="shared" si="9"/>
        <v>13.5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115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2</v>
      </c>
    </row>
    <row r="38" spans="1:22" x14ac:dyDescent="0.25">
      <c r="A38" s="180" t="s">
        <v>113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3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4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5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IFERROR(VLOOKUP(Aike!$D54,Tabela20[],2,0),0)</f>
        <v>0</v>
      </c>
      <c r="R54" s="54">
        <f>IFERROR(VLOOKUP(Aike!$D54,Tabela20[],3,0),0)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IFERROR(VLOOKUP(Aike!$D55,Tabela20[],2,0),0)</f>
        <v>0</v>
      </c>
      <c r="R55" s="54">
        <f>IFERROR(VLOOKUP(Aike!$D55,Tabela20[],3,0),0)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IFERROR(VLOOKUP(Aike!$D56,Tabela20[],2,0),0)</f>
        <v>0</v>
      </c>
      <c r="R56" s="54">
        <f>IFERROR(VLOOKUP(Aike!$D56,Tabela20[],3,0),0)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IFERROR(VLOOKUP(Aike!$D57,Tabela20[],2,0),0)</f>
        <v>0</v>
      </c>
      <c r="R57" s="54">
        <f>IFERROR(VLOOKUP(Aike!$D57,Tabela20[],3,0),0)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IFERROR(VLOOKUP(Aike!$D58,Tabela20[],2,0),0)</f>
        <v>0</v>
      </c>
      <c r="R58" s="54">
        <f>IFERROR(VLOOKUP(Aike!$D58,Tabela20[],3,0),0)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IFERROR(VLOOKUP(Aike!$D59,Tabela20[],2,0),0)</f>
        <v>0</v>
      </c>
      <c r="R59" s="54">
        <f>IFERROR(VLOOKUP(Aike!$D59,Tabela20[],3,0),0)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IFERROR(VLOOKUP(Aike!$D60,Tabela20[],2,0),0)</f>
        <v>0</v>
      </c>
      <c r="R60" s="54">
        <f>IFERROR(VLOOKUP(Aike!$D60,Tabela20[],3,0),0)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IFERROR(VLOOKUP(Aike!$D61,Tabela20[],2,0),0)</f>
        <v>0</v>
      </c>
      <c r="R61" s="54">
        <f>IFERROR(VLOOKUP(Aike!$D61,Tabela20[],3,0),0)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IFERROR(VLOOKUP(Aike!$D62,Tabela20[],2,0),0)</f>
        <v>0</v>
      </c>
      <c r="R62" s="54">
        <f>IFERROR(VLOOKUP(Aike!$D62,Tabela20[],3,0),0)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IFERROR(VLOOKUP(Aike!$D63,Tabela20[],2,0),0)</f>
        <v>0</v>
      </c>
      <c r="R63" s="54">
        <f>IFERROR(VLOOKUP(Aike!$D63,Tabela20[],3,0),0)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IFERROR(VLOOKUP(Aike!$D64,Tabela20[],2,0),0)</f>
        <v>0</v>
      </c>
      <c r="R64" s="114">
        <f>IFERROR(VLOOKUP(Aike!$D64,Tabela20[],3,0),0)</f>
        <v>0</v>
      </c>
    </row>
    <row r="65" spans="1:23" s="89" customFormat="1" hidden="1" x14ac:dyDescent="0.25">
      <c r="A65" s="89" t="s">
        <v>756</v>
      </c>
      <c r="F65" s="124">
        <f>SUM(Aike!$F$54:$F$64)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4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IFERROR(VLOOKUP(Aike!$D70,Tabela11[],2),0)</f>
        <v>0</v>
      </c>
      <c r="R70" s="54">
        <f>IFERROR(VLOOKUP(Aike!$D70,Tabela11[],3),0)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3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IFERROR(VLOOKUP(Aike!$D71,Tabela11[],2),0)</f>
        <v>0</v>
      </c>
      <c r="R71" s="54">
        <f>IFERROR(VLOOKUP(Aike!$D71,Tabela11[],3),0)</f>
        <v>6</v>
      </c>
    </row>
    <row r="72" spans="1:23" x14ac:dyDescent="0.25">
      <c r="A72" s="180"/>
      <c r="B72" s="181"/>
      <c r="C72" s="182"/>
      <c r="D72" s="180" t="s">
        <v>793</v>
      </c>
      <c r="E72" s="182"/>
      <c r="F72" s="73">
        <v>1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IFERROR(VLOOKUP(Aike!$D72,Tabela11[],2),0)</f>
        <v>0</v>
      </c>
      <c r="R72" s="54">
        <f>IFERROR(VLOOKUP(Aike!$D72,Tabela11[],3),0)</f>
        <v>2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IFERROR(VLOOKUP(Aike!$D73,Tabela11[],2),0)</f>
        <v>0</v>
      </c>
      <c r="R73" s="54">
        <f>IFERROR(VLOOKUP(Aike!$D73,Tabela11[],3),0)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IFERROR(VLOOKUP(Aike!$D74,Tabela11[],2),0)</f>
        <v>0</v>
      </c>
      <c r="R74" s="54">
        <f>IFERROR(VLOOKUP(Aike!$D74,Tabela11[],3),0)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IFERROR(VLOOKUP(Aike!$D75,Tabela11[],2),0)</f>
        <v>0</v>
      </c>
      <c r="R75" s="54">
        <f>IFERROR(VLOOKUP(Aike!$D75,Tabela11[],3),0)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IFERROR(VLOOKUP(Aike!$D76,Tabela11[],2),0)</f>
        <v>0</v>
      </c>
      <c r="R76" s="54">
        <f>IFERROR(VLOOKUP(Aike!$D76,Tabela11[],3),0)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IFERROR(VLOOKUP(Aike!$D77,Tabela11[],2),0)</f>
        <v>0</v>
      </c>
      <c r="R77" s="54">
        <f>IFERROR(VLOOKUP(Aike!$D77,Tabela11[],3),0)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IFERROR(VLOOKUP(Aike!$D78,Tabela11[],2),0)</f>
        <v>0</v>
      </c>
      <c r="R78" s="54">
        <f>IFERROR(VLOOKUP(Aike!$D78,Tabela11[],3),0)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IFERROR(VLOOKUP(Aike!$D79,Tabela11[],2),0)</f>
        <v>0</v>
      </c>
      <c r="R79" s="54">
        <f>IFERROR(VLOOKUP(Aike!$D79,Tabela11[],3),0)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IFERROR(VLOOKUP(Aike!$D80,Tabela11[],2),0)</f>
        <v>0</v>
      </c>
      <c r="R80" s="114">
        <f>IFERROR(VLOOKUP(Aike!$D80,Tabela11[],3),0)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8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>
        <v>5</v>
      </c>
      <c r="G85" s="180"/>
      <c r="H85" s="182"/>
      <c r="I85" s="180"/>
      <c r="J85" s="182"/>
      <c r="K85" s="6"/>
      <c r="L85" s="121"/>
      <c r="M85" s="121"/>
      <c r="N85" s="122"/>
      <c r="O85" s="52">
        <f>IFERROR(VLOOKUP(Aike!$D85,Tabela21[],2,0),0)</f>
        <v>0</v>
      </c>
      <c r="P85" s="54">
        <f>IFERROR(VLOOKUP(Aike!$D85,Tabela21[],3,0),0)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IFERROR(VLOOKUP(Aike!$D86,Tabela21[],2,0),0)</f>
        <v>0</v>
      </c>
      <c r="P86" s="54">
        <f>IFERROR(VLOOKUP(Aike!$D86,Tabela21[],3,0),0)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IFERROR(VLOOKUP(Aike!$D87,Tabela21[],2,0),0)</f>
        <v>0</v>
      </c>
      <c r="P87" s="54">
        <f>IFERROR(VLOOKUP(Aike!$D87,Tabela21[],3,0),0)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IFERROR(VLOOKUP(Aike!$D88,Tabela21[],2,0),0)</f>
        <v>0</v>
      </c>
      <c r="P88" s="54">
        <f>IFERROR(VLOOKUP(Aike!$D88,Tabela21[],3,0),0)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IFERROR(VLOOKUP(Aike!$D89,Tabela21[],2,0),0)</f>
        <v>0</v>
      </c>
      <c r="P89" s="54">
        <f>IFERROR(VLOOKUP(Aike!$D89,Tabela21[],3,0),0)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IFERROR(VLOOKUP(Aike!$D90,Tabela21[],2,0),0)</f>
        <v>0</v>
      </c>
      <c r="P90" s="54">
        <f>IFERROR(VLOOKUP(Aike!$D90,Tabela21[],3,0),0)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IFERROR(VLOOKUP(Aike!$D91,Tabela21[],2,0),0)</f>
        <v>0</v>
      </c>
      <c r="P91" s="54">
        <f>IFERROR(VLOOKUP(Aike!$D91,Tabela21[],3,0),0)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IFERROR(VLOOKUP(Aike!$D92,Tabela21[],2,0),0)</f>
        <v>0</v>
      </c>
      <c r="P92" s="54">
        <f>IFERROR(VLOOKUP(Aike!$D92,Tabela21[],3,0),0)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IFERROR(VLOOKUP(Aike!$D93,Tabela21[],2,0),0)</f>
        <v>0</v>
      </c>
      <c r="P93" s="54">
        <f>IFERROR(VLOOKUP(Aike!$D93,Tabela21[],3,0),0)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IFERROR(VLOOKUP(Aike!$D94,Tabela21[],2,0),0)</f>
        <v>0</v>
      </c>
      <c r="P94" s="54">
        <f>IFERROR(VLOOKUP(Aike!$D94,Tabela21[],3,0),0)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IFERROR(VLOOKUP(Aike!$D95,Tabela21[],2,0),0)</f>
        <v>0</v>
      </c>
      <c r="P95" s="54">
        <f>IFERROR(VLOOKUP(Aike!$D95,Tabela21[],3,0),0)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IFERROR(VLOOKUP(Aike!$D96,Tabela21[],2,0),0)</f>
        <v>0</v>
      </c>
      <c r="P96" s="54">
        <f>IFERROR(VLOOKUP(Aike!$D96,Tabela21[],3,0),0)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5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IFERROR(VLOOKUP(Aike!$D97,Tabela21[],2,0),0)</f>
        <v>0</v>
      </c>
      <c r="P97" s="136">
        <f>IFERROR(VLOOKUP(Aike!$D97,Tabela21[],3,0),0)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805</v>
      </c>
      <c r="B101" s="181"/>
      <c r="C101" s="182"/>
      <c r="D101" s="180"/>
      <c r="E101" s="182"/>
      <c r="F101" s="73">
        <v>4</v>
      </c>
      <c r="G101" s="180"/>
      <c r="H101" s="182"/>
      <c r="I101" s="218"/>
      <c r="J101" s="219"/>
      <c r="K101" s="75"/>
      <c r="L101" s="2">
        <f>IFERROR(VLOOKUP(Aike!$A101,TFunçõesAdm[],3,0),40)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 t="s">
        <v>804</v>
      </c>
      <c r="B102" s="181"/>
      <c r="C102" s="182"/>
      <c r="D102" s="180"/>
      <c r="E102" s="182"/>
      <c r="F102" s="73">
        <v>1</v>
      </c>
      <c r="G102" s="180"/>
      <c r="H102" s="182"/>
      <c r="I102" s="218"/>
      <c r="J102" s="219"/>
      <c r="K102" s="75"/>
      <c r="L102" s="2">
        <f>IFERROR(VLOOKUP(Aike!$A102,TFunçõesAdm[],3,0),40)</f>
        <v>35</v>
      </c>
      <c r="M102" s="3"/>
      <c r="N102" s="95"/>
      <c r="O102" s="95"/>
      <c r="P102" s="95"/>
      <c r="Q102" s="52">
        <v>0</v>
      </c>
      <c r="R102" s="54">
        <f>IFERROR(VLOOKUP(A102,TFunçõesAdm[],2,FALSE),0)</f>
        <v>5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IFERROR(VLOOKUP(Aike!$A103,TFunçõesAdm[],3,0),40)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IFERROR(VLOOKUP(Aike!$A104,TFunçõesAdm[],3,0),40)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IFERROR(VLOOKUP(Aike!$A105,TFunçõesAdm[],3,0),40)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IFERROR(VLOOKUP(Aike!$A106,TFunçõesAdm[],3,0),40)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IFERROR(VLOOKUP(Aike!$A107,TFunçõesAdm[],3,0),40)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IFERROR(VLOOKUP(Aike!$A108,TFunçõesAdm[],3,0),40)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IFERROR(VLOOKUP(Aike!$A109,TFunçõesAdm[],3,0),40)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IFERROR(VLOOKUP(Aike!$A110,TFunçõesAdm[],3,0),40)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IFERROR(VLOOKUP(Aike!$A111,TFunçõesAdm[],3,0),40)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IFERROR(VLOOKUP(Aike!$A112,TFunçõesAdm[],3,0),40)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5</v>
      </c>
      <c r="G113" s="124"/>
      <c r="H113" s="89"/>
      <c r="I113" s="124"/>
      <c r="J113" s="124"/>
      <c r="K113" s="89"/>
      <c r="L113" s="104">
        <f>MIN(Aike!$L$101:$L$112)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SUM(Aike!$F$123:$F$124)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9</v>
      </c>
      <c r="B134" s="143">
        <f>K32</f>
        <v>10</v>
      </c>
      <c r="C134" s="143">
        <f>K50</f>
        <v>4</v>
      </c>
      <c r="D134" s="143">
        <f>F65</f>
        <v>0</v>
      </c>
      <c r="E134" s="143">
        <f>F81</f>
        <v>8</v>
      </c>
      <c r="F134" s="143">
        <f>F97</f>
        <v>5</v>
      </c>
      <c r="G134" s="143">
        <f>F113</f>
        <v>5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41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Aike Anneliese Kretzschmar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8</v>
      </c>
      <c r="G148" s="71">
        <f>SUM(H23:I31)</f>
        <v>1</v>
      </c>
      <c r="H148" s="71">
        <f>B134</f>
        <v>10</v>
      </c>
      <c r="I148" s="71">
        <f>C134</f>
        <v>4</v>
      </c>
      <c r="J148" s="71">
        <f>E134</f>
        <v>8</v>
      </c>
      <c r="K148" s="71">
        <f>F134</f>
        <v>5</v>
      </c>
      <c r="Q148" s="71">
        <v>0</v>
      </c>
      <c r="R148" s="71">
        <f>D134</f>
        <v>0</v>
      </c>
      <c r="S148" s="71">
        <f>G134</f>
        <v>5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41</v>
      </c>
    </row>
  </sheetData>
  <sheetProtection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934" priority="26">
      <formula>se+$A$134&lt;$L$35</formula>
    </cfRule>
    <cfRule type="cellIs" dxfId="933" priority="25" operator="lessThan">
      <formula>M35</formula>
    </cfRule>
  </conditionalFormatting>
  <conditionalFormatting sqref="B134">
    <cfRule type="expression" dxfId="932" priority="35">
      <formula>P32=1</formula>
    </cfRule>
  </conditionalFormatting>
  <conditionalFormatting sqref="E134">
    <cfRule type="expression" dxfId="931" priority="20">
      <formula>($E$134&gt;$L$68)</formula>
    </cfRule>
  </conditionalFormatting>
  <conditionalFormatting sqref="F54:F64">
    <cfRule type="cellIs" dxfId="930" priority="18" operator="greaterThan">
      <formula>R54</formula>
    </cfRule>
  </conditionalFormatting>
  <conditionalFormatting sqref="F101:F112">
    <cfRule type="cellIs" dxfId="929" priority="3" operator="notBetween">
      <formula>Q101</formula>
      <formula>R101</formula>
    </cfRule>
  </conditionalFormatting>
  <conditionalFormatting sqref="F70:G80">
    <cfRule type="cellIs" dxfId="928" priority="2" operator="notBetween">
      <formula>Q70</formula>
      <formula>R70</formula>
    </cfRule>
  </conditionalFormatting>
  <conditionalFormatting sqref="J12:J21">
    <cfRule type="expression" dxfId="927" priority="9">
      <formula>P12=1</formula>
    </cfRule>
  </conditionalFormatting>
  <conditionalFormatting sqref="J23:J31">
    <cfRule type="expression" dxfId="926" priority="1">
      <formula>P23=1</formula>
    </cfRule>
  </conditionalFormatting>
  <conditionalFormatting sqref="K37:K49">
    <cfRule type="expression" dxfId="925" priority="27">
      <formula>(K37&gt;R37)</formula>
    </cfRule>
  </conditionalFormatting>
  <conditionalFormatting sqref="K134">
    <cfRule type="cellIs" dxfId="924" priority="33" operator="notEqual">
      <formula>40</formula>
    </cfRule>
  </conditionalFormatting>
  <conditionalFormatting sqref="O85:P91">
    <cfRule type="expression" dxfId="923" priority="47">
      <formula>T82=1</formula>
    </cfRule>
  </conditionalFormatting>
  <conditionalFormatting sqref="O92:P92">
    <cfRule type="expression" dxfId="922" priority="54">
      <formula>T84=1</formula>
    </cfRule>
  </conditionalFormatting>
  <conditionalFormatting sqref="O93:P93">
    <cfRule type="expression" dxfId="921" priority="49">
      <formula>T84=1</formula>
    </cfRule>
  </conditionalFormatting>
  <conditionalFormatting sqref="O94:P94">
    <cfRule type="expression" dxfId="920" priority="48">
      <formula>T84=1</formula>
    </cfRule>
  </conditionalFormatting>
  <conditionalFormatting sqref="O95:P95">
    <cfRule type="expression" dxfId="919" priority="38">
      <formula>T84=1</formula>
    </cfRule>
  </conditionalFormatting>
  <conditionalFormatting sqref="O96:P96">
    <cfRule type="expression" dxfId="918" priority="21">
      <formula>T83=1</formula>
    </cfRule>
  </conditionalFormatting>
  <conditionalFormatting sqref="Q78:Q79">
    <cfRule type="expression" dxfId="917" priority="51">
      <formula>T68=1</formula>
    </cfRule>
  </conditionalFormatting>
  <conditionalFormatting sqref="Q80">
    <cfRule type="expression" dxfId="916" priority="43">
      <formula>S69=1</formula>
    </cfRule>
  </conditionalFormatting>
  <conditionalFormatting sqref="Q81">
    <cfRule type="expression" dxfId="915" priority="42">
      <formula>S69=1</formula>
    </cfRule>
  </conditionalFormatting>
  <conditionalFormatting sqref="Q37:R44">
    <cfRule type="expression" dxfId="914" priority="30">
      <formula>T34=1</formula>
    </cfRule>
  </conditionalFormatting>
  <conditionalFormatting sqref="Q45:R45">
    <cfRule type="expression" dxfId="913" priority="44">
      <formula>T37=1</formula>
    </cfRule>
  </conditionalFormatting>
  <conditionalFormatting sqref="Q46:R46">
    <cfRule type="expression" dxfId="912" priority="22">
      <formula>T37=1</formula>
    </cfRule>
  </conditionalFormatting>
  <conditionalFormatting sqref="Q47:R49">
    <cfRule type="expression" dxfId="911" priority="28">
      <formula>T37=1</formula>
    </cfRule>
  </conditionalFormatting>
  <conditionalFormatting sqref="Q54:R57">
    <cfRule type="expression" dxfId="910" priority="31">
      <formula>T51=1</formula>
    </cfRule>
  </conditionalFormatting>
  <conditionalFormatting sqref="Q58:R63">
    <cfRule type="expression" dxfId="909" priority="23">
      <formula>T52=1</formula>
    </cfRule>
  </conditionalFormatting>
  <conditionalFormatting sqref="Q64:R64">
    <cfRule type="expression" dxfId="908" priority="50">
      <formula>T53=1</formula>
    </cfRule>
  </conditionalFormatting>
  <conditionalFormatting sqref="Q70:R76">
    <cfRule type="expression" dxfId="907" priority="36">
      <formula>T66=1</formula>
    </cfRule>
  </conditionalFormatting>
  <conditionalFormatting sqref="Q77:R77">
    <cfRule type="expression" dxfId="906" priority="29">
      <formula>T68=1</formula>
    </cfRule>
  </conditionalFormatting>
  <conditionalFormatting sqref="Q101:R106 Q107:Q112 R109">
    <cfRule type="expression" dxfId="905" priority="39">
      <formula>T99=1</formula>
    </cfRule>
  </conditionalFormatting>
  <conditionalFormatting sqref="Q113:R113">
    <cfRule type="expression" dxfId="904" priority="34">
      <formula>#REF!=1</formula>
    </cfRule>
  </conditionalFormatting>
  <conditionalFormatting sqref="R78:R79">
    <cfRule type="expression" dxfId="903" priority="46">
      <formula>U67=1</formula>
    </cfRule>
  </conditionalFormatting>
  <conditionalFormatting sqref="R80">
    <cfRule type="expression" dxfId="902" priority="52">
      <formula>U67=1</formula>
    </cfRule>
  </conditionalFormatting>
  <conditionalFormatting sqref="R81">
    <cfRule type="expression" dxfId="901" priority="53">
      <formula>U69=1</formula>
    </cfRule>
  </conditionalFormatting>
  <conditionalFormatting sqref="R107:R108">
    <cfRule type="expression" dxfId="900" priority="55">
      <formula>U101=1</formula>
    </cfRule>
  </conditionalFormatting>
  <conditionalFormatting sqref="R110:R112">
    <cfRule type="expression" dxfId="899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BF12C6BF-F8C6-4835-BE72-52FD60847A95}">
          <x14:formula1>
            <xm:f>'Grade Pós'!$A:$A</xm:f>
          </x14:formula1>
          <xm:sqref>A23:A31</xm:sqref>
        </x14:dataValidation>
        <x14:dataValidation type="list" allowBlank="1" showInputMessage="1" showErrorMessage="1" xr:uid="{D8C1F86C-BEFA-487E-B140-2176478937DB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D270F7E8-2AD6-4079-9A0B-17FEC69409A7}">
          <x14:formula1>
            <xm:f>Profs!$A:$A</xm:f>
          </x14:formula1>
          <xm:sqref>A5</xm:sqref>
        </x14:dataValidation>
        <x14:dataValidation type="list" allowBlank="1" showInputMessage="1" showErrorMessage="1" xr:uid="{FDFA7E06-3418-4BB5-B24F-ABAD2B9B97B3}">
          <x14:formula1>
            <xm:f>Dados!$A$108:$A$109</xm:f>
          </x14:formula1>
          <xm:sqref>D54:D64</xm:sqref>
        </x14:dataValidation>
        <x14:dataValidation type="list" allowBlank="1" showInputMessage="1" showErrorMessage="1" xr:uid="{B0213936-1AFA-42A4-A084-B444BD0C6691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A077EB94-491A-40C7-9F41-C4F6DB628F0D}">
          <x14:formula1>
            <xm:f>Dados!$A$44:$A$78</xm:f>
          </x14:formula1>
          <xm:sqref>A101:A112</xm:sqref>
        </x14:dataValidation>
        <x14:dataValidation type="list" allowBlank="1" showInputMessage="1" showErrorMessage="1" xr:uid="{DD1F1B79-2930-4FC5-96DC-3905614C3602}">
          <x14:formula1>
            <xm:f>Dados!$A$95:$A$99</xm:f>
          </x14:formula1>
          <xm:sqref>D68</xm:sqref>
        </x14:dataValidation>
        <x14:dataValidation type="list" allowBlank="1" showInputMessage="1" showErrorMessage="1" xr:uid="{F2A4D518-C7A7-4F90-B0AB-077C04444643}">
          <x14:formula1>
            <xm:f>Dados!$A$85:$A$90</xm:f>
          </x14:formula1>
          <xm:sqref>A37:A49</xm:sqref>
        </x14:dataValidation>
        <x14:dataValidation type="list" allowBlank="1" showInputMessage="1" showErrorMessage="1" xr:uid="{CE61109D-0F9E-4201-9565-2970086BC37A}">
          <x14:formula1>
            <xm:f>Dados!$A$38:$A$39</xm:f>
          </x14:formula1>
          <xm:sqref>H35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E1BD-1367-4A0E-A3BC-997994C95819}">
  <sheetPr>
    <pageSetUpPr fitToPage="1"/>
  </sheetPr>
  <dimension ref="A1:W148"/>
  <sheetViews>
    <sheetView showGridLines="0" zoomScale="73" zoomScaleNormal="73" workbookViewId="0">
      <selection activeCell="J15" sqref="J15:K1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398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685</v>
      </c>
      <c r="B12" s="181"/>
      <c r="C12" s="182"/>
      <c r="D12" s="183" t="str">
        <f>IFERROR(VLOOKUP(A12,TGradeCurricular[],2,0),"")</f>
        <v>Engenharia Florestal</v>
      </c>
      <c r="E12" s="184"/>
      <c r="F12" s="183" t="str">
        <f>IFERROR(VLOOKUP(A12,TGradeCurricular[],3,0),"")</f>
        <v>3ª</v>
      </c>
      <c r="G12" s="184"/>
      <c r="H12" s="73">
        <v>2</v>
      </c>
      <c r="I12" s="73">
        <v>4</v>
      </c>
      <c r="J12" s="180">
        <v>7.8</v>
      </c>
      <c r="K12" s="181"/>
      <c r="L12" s="2">
        <f t="shared" ref="L12:L21" si="0">SUM(H12:I12)</f>
        <v>6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3</v>
      </c>
      <c r="R12" s="54">
        <f t="shared" ref="R12:R21" si="5">IFERROR(_xlfn.IFS($M$32=1,L12,$M$32=2,L12,$M$32=3,(L12*1.3),$M$32&gt;3,(L12*1.5)),0)</f>
        <v>7.8000000000000007</v>
      </c>
    </row>
    <row r="13" spans="1:22" ht="15" customHeight="1" x14ac:dyDescent="0.25">
      <c r="A13" s="180" t="s">
        <v>684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3ª</v>
      </c>
      <c r="G13" s="184"/>
      <c r="H13" s="73">
        <v>2</v>
      </c>
      <c r="I13" s="73">
        <v>4</v>
      </c>
      <c r="J13" s="185">
        <v>7.8</v>
      </c>
      <c r="K13" s="180"/>
      <c r="L13" s="2">
        <f t="shared" si="0"/>
        <v>6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3</v>
      </c>
      <c r="R13" s="54">
        <f t="shared" si="5"/>
        <v>7.8000000000000007</v>
      </c>
    </row>
    <row r="14" spans="1:22" ht="15" customHeight="1" x14ac:dyDescent="0.25">
      <c r="A14" s="180" t="s">
        <v>202</v>
      </c>
      <c r="B14" s="181"/>
      <c r="C14" s="182"/>
      <c r="D14" s="183" t="str">
        <f>IFERROR(VLOOKUP(A14,TGradeCurricular[],2,0),"")</f>
        <v>Agronomia</v>
      </c>
      <c r="E14" s="184"/>
      <c r="F14" s="183" t="str">
        <f>IFERROR(VLOOKUP(A14,TGradeCurricular[],3,0),"")</f>
        <v>6ª</v>
      </c>
      <c r="G14" s="184"/>
      <c r="H14" s="73">
        <v>2</v>
      </c>
      <c r="I14" s="73">
        <v>0</v>
      </c>
      <c r="J14" s="185">
        <v>2.4</v>
      </c>
      <c r="K14" s="180"/>
      <c r="L14" s="2">
        <f t="shared" si="0"/>
        <v>2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1</v>
      </c>
      <c r="R14" s="54">
        <f t="shared" si="5"/>
        <v>2.6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IFERROR(VLOOKUP(Altamir!$A23,'Grade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IFERROR(VLOOKUP(Altamir!$A24,'Grade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IFERROR(VLOOKUP(Altamir!$A25,'Grade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IFERROR(VLOOKUP(Altamir!$A26,'Grade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IFERROR(VLOOKUP(Altamir!$A27,'Grade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IFERROR(VLOOKUP(Altamir!$A28,'Grade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IFERROR(VLOOKUP(Altamir!$A29,'Grade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IFERROR(VLOOKUP(Altamir!$A30,'Grade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IFERROR(VLOOKUP(Altamir!$A31,'Grade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18</v>
      </c>
      <c r="K32" s="99">
        <f>SUM(J12:J31)</f>
        <v>18</v>
      </c>
      <c r="L32" s="4">
        <f>SUM(L12:L31)</f>
        <v>14</v>
      </c>
      <c r="M32" s="5">
        <f>SUM(M12:M31)</f>
        <v>3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7</v>
      </c>
      <c r="R32" s="101">
        <f t="shared" si="9"/>
        <v>18.2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113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1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3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1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3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IFERROR(VLOOKUP(Altamir!$D54,Tabela20[],2,0),0)</f>
        <v>0</v>
      </c>
      <c r="R54" s="54">
        <f>IFERROR(VLOOKUP(Altamir!$D54,Tabela20[],3,0),0)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IFERROR(VLOOKUP(Altamir!$D55,Tabela20[],2,0),0)</f>
        <v>0</v>
      </c>
      <c r="R55" s="54">
        <f>IFERROR(VLOOKUP(Altamir!$D55,Tabela20[],3,0),0)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IFERROR(VLOOKUP(Altamir!$D56,Tabela20[],2,0),0)</f>
        <v>0</v>
      </c>
      <c r="R56" s="54">
        <f>IFERROR(VLOOKUP(Altamir!$D56,Tabela20[],3,0),0)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IFERROR(VLOOKUP(Altamir!$D57,Tabela20[],2,0),0)</f>
        <v>0</v>
      </c>
      <c r="R57" s="54">
        <f>IFERROR(VLOOKUP(Altamir!$D57,Tabela20[],3,0),0)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IFERROR(VLOOKUP(Altamir!$D58,Tabela20[],2,0),0)</f>
        <v>0</v>
      </c>
      <c r="R58" s="54">
        <f>IFERROR(VLOOKUP(Altamir!$D58,Tabela20[],3,0),0)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IFERROR(VLOOKUP(Altamir!$D59,Tabela20[],2,0),0)</f>
        <v>0</v>
      </c>
      <c r="R59" s="54">
        <f>IFERROR(VLOOKUP(Altamir!$D59,Tabela20[],3,0),0)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IFERROR(VLOOKUP(Altamir!$D60,Tabela20[],2,0),0)</f>
        <v>0</v>
      </c>
      <c r="R60" s="54">
        <f>IFERROR(VLOOKUP(Altamir!$D60,Tabela20[],3,0),0)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IFERROR(VLOOKUP(Altamir!$D61,Tabela20[],2,0),0)</f>
        <v>0</v>
      </c>
      <c r="R61" s="54">
        <f>IFERROR(VLOOKUP(Altamir!$D61,Tabela20[],3,0),0)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IFERROR(VLOOKUP(Altamir!$D62,Tabela20[],2,0),0)</f>
        <v>0</v>
      </c>
      <c r="R62" s="54">
        <f>IFERROR(VLOOKUP(Altamir!$D62,Tabela20[],3,0),0)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IFERROR(VLOOKUP(Altamir!$D63,Tabela20[],2,0),0)</f>
        <v>0</v>
      </c>
      <c r="R63" s="54">
        <f>IFERROR(VLOOKUP(Altamir!$D63,Tabela20[],3,0),0)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IFERROR(VLOOKUP(Altamir!$D64,Tabela20[],2,0),0)</f>
        <v>0</v>
      </c>
      <c r="R64" s="114">
        <f>IFERROR(VLOOKUP(Altamir!$D64,Tabela20[],3,0),0)</f>
        <v>0</v>
      </c>
    </row>
    <row r="65" spans="1:23" s="89" customFormat="1" hidden="1" x14ac:dyDescent="0.25">
      <c r="A65" s="89" t="s">
        <v>756</v>
      </c>
      <c r="F65" s="124">
        <f>SUM(Altamir!$F$54:$F$64)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6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IFERROR(VLOOKUP(Altamir!$D70,Tabela11[],2),0)</f>
        <v>0</v>
      </c>
      <c r="R70" s="54">
        <f>IFERROR(VLOOKUP(Altamir!$D70,Tabela11[],3),0)</f>
        <v>6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IFERROR(VLOOKUP(Altamir!$D71,Tabela11[],2),0)</f>
        <v>0</v>
      </c>
      <c r="R71" s="54">
        <f>IFERROR(VLOOKUP(Altamir!$D71,Tabela11[],3),0)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IFERROR(VLOOKUP(Altamir!$D72,Tabela11[],2),0)</f>
        <v>0</v>
      </c>
      <c r="R72" s="54">
        <f>IFERROR(VLOOKUP(Altamir!$D72,Tabela11[],3),0)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IFERROR(VLOOKUP(Altamir!$D73,Tabela11[],2),0)</f>
        <v>0</v>
      </c>
      <c r="R73" s="54">
        <f>IFERROR(VLOOKUP(Altamir!$D73,Tabela11[],3),0)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IFERROR(VLOOKUP(Altamir!$D74,Tabela11[],2),0)</f>
        <v>0</v>
      </c>
      <c r="R74" s="54">
        <f>IFERROR(VLOOKUP(Altamir!$D74,Tabela11[],3),0)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IFERROR(VLOOKUP(Altamir!$D75,Tabela11[],2),0)</f>
        <v>0</v>
      </c>
      <c r="R75" s="54">
        <f>IFERROR(VLOOKUP(Altamir!$D75,Tabela11[],3),0)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IFERROR(VLOOKUP(Altamir!$D76,Tabela11[],2),0)</f>
        <v>0</v>
      </c>
      <c r="R76" s="54">
        <f>IFERROR(VLOOKUP(Altamir!$D76,Tabela11[],3),0)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IFERROR(VLOOKUP(Altamir!$D77,Tabela11[],2),0)</f>
        <v>0</v>
      </c>
      <c r="R77" s="54">
        <f>IFERROR(VLOOKUP(Altamir!$D77,Tabela11[],3),0)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IFERROR(VLOOKUP(Altamir!$D78,Tabela11[],2),0)</f>
        <v>0</v>
      </c>
      <c r="R78" s="54">
        <f>IFERROR(VLOOKUP(Altamir!$D78,Tabela11[],3),0)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IFERROR(VLOOKUP(Altamir!$D79,Tabela11[],2),0)</f>
        <v>0</v>
      </c>
      <c r="R79" s="54">
        <f>IFERROR(VLOOKUP(Altamir!$D79,Tabela11[],3),0)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IFERROR(VLOOKUP(Altamir!$D80,Tabela11[],2),0)</f>
        <v>0</v>
      </c>
      <c r="R80" s="114">
        <f>IFERROR(VLOOKUP(Altamir!$D80,Tabela11[],3),0)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6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IFERROR(VLOOKUP(Altamir!$D85,Tabela21[],2,0),0)</f>
        <v>0</v>
      </c>
      <c r="P85" s="54">
        <f>IFERROR(VLOOKUP(Altamir!$D85,Tabela21[],3,0),0)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IFERROR(VLOOKUP(Altamir!$D86,Tabela21[],2,0),0)</f>
        <v>0</v>
      </c>
      <c r="P86" s="54">
        <f>IFERROR(VLOOKUP(Altamir!$D86,Tabela21[],3,0),0)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IFERROR(VLOOKUP(Altamir!$D87,Tabela21[],2,0),0)</f>
        <v>0</v>
      </c>
      <c r="P87" s="54">
        <f>IFERROR(VLOOKUP(Altamir!$D87,Tabela21[],3,0),0)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IFERROR(VLOOKUP(Altamir!$D88,Tabela21[],2,0),0)</f>
        <v>0</v>
      </c>
      <c r="P88" s="54">
        <f>IFERROR(VLOOKUP(Altamir!$D88,Tabela21[],3,0),0)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IFERROR(VLOOKUP(Altamir!$D89,Tabela21[],2,0),0)</f>
        <v>0</v>
      </c>
      <c r="P89" s="54">
        <f>IFERROR(VLOOKUP(Altamir!$D89,Tabela21[],3,0),0)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IFERROR(VLOOKUP(Altamir!$D90,Tabela21[],2,0),0)</f>
        <v>0</v>
      </c>
      <c r="P90" s="54">
        <f>IFERROR(VLOOKUP(Altamir!$D90,Tabela21[],3,0),0)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IFERROR(VLOOKUP(Altamir!$D91,Tabela21[],2,0),0)</f>
        <v>0</v>
      </c>
      <c r="P91" s="54">
        <f>IFERROR(VLOOKUP(Altamir!$D91,Tabela21[],3,0),0)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IFERROR(VLOOKUP(Altamir!$D92,Tabela21[],2,0),0)</f>
        <v>0</v>
      </c>
      <c r="P92" s="54">
        <f>IFERROR(VLOOKUP(Altamir!$D92,Tabela21[],3,0),0)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IFERROR(VLOOKUP(Altamir!$D93,Tabela21[],2,0),0)</f>
        <v>0</v>
      </c>
      <c r="P93" s="54">
        <f>IFERROR(VLOOKUP(Altamir!$D93,Tabela21[],3,0),0)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IFERROR(VLOOKUP(Altamir!$D94,Tabela21[],2,0),0)</f>
        <v>0</v>
      </c>
      <c r="P94" s="54">
        <f>IFERROR(VLOOKUP(Altamir!$D94,Tabela21[],3,0),0)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IFERROR(VLOOKUP(Altamir!$D95,Tabela21[],2,0),0)</f>
        <v>0</v>
      </c>
      <c r="P95" s="54">
        <f>IFERROR(VLOOKUP(Altamir!$D95,Tabela21[],3,0),0)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IFERROR(VLOOKUP(Altamir!$D96,Tabela21[],2,0),0)</f>
        <v>0</v>
      </c>
      <c r="P96" s="54">
        <f>IFERROR(VLOOKUP(Altamir!$D96,Tabela21[],3,0),0)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IFERROR(VLOOKUP(Altamir!$D97,Tabela21[],2,0),0)</f>
        <v>0</v>
      </c>
      <c r="P97" s="136">
        <f>IFERROR(VLOOKUP(Altamir!$D97,Tabela21[],3,0),0)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IFERROR(VLOOKUP(Altamir!$A101,TFunçõesAdm[],3,0),40)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IFERROR(VLOOKUP(Altamir!$A102,TFunçõesAdm[],3,0),40)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IFERROR(VLOOKUP(Altamir!$A103,TFunçõesAdm[],3,0),40)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IFERROR(VLOOKUP(Altamir!$A104,TFunçõesAdm[],3,0),40)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IFERROR(VLOOKUP(Altamir!$A105,TFunçõesAdm[],3,0),40)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IFERROR(VLOOKUP(Altamir!$A106,TFunçõesAdm[],3,0),40)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IFERROR(VLOOKUP(Altamir!$A107,TFunçõesAdm[],3,0),40)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IFERROR(VLOOKUP(Altamir!$A108,TFunçõesAdm[],3,0),40)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IFERROR(VLOOKUP(Altamir!$A109,TFunçõesAdm[],3,0),40)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IFERROR(VLOOKUP(Altamir!$A110,TFunçõesAdm[],3,0),40)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IFERROR(VLOOKUP(Altamir!$A111,TFunçõesAdm[],3,0),40)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IFERROR(VLOOKUP(Altamir!$A112,TFunçõesAdm[],3,0),40)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5</v>
      </c>
      <c r="G113" s="124"/>
      <c r="H113" s="89"/>
      <c r="I113" s="124"/>
      <c r="J113" s="124"/>
      <c r="K113" s="89"/>
      <c r="L113" s="104">
        <f>MIN(Altamir!$L$101:$L$112)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SUM(Altamir!$F$123:$F$124)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14</v>
      </c>
      <c r="B134" s="143">
        <f>K32</f>
        <v>18</v>
      </c>
      <c r="C134" s="143">
        <f>K50</f>
        <v>1</v>
      </c>
      <c r="D134" s="143">
        <f>F65</f>
        <v>0</v>
      </c>
      <c r="E134" s="143">
        <f>F81</f>
        <v>6</v>
      </c>
      <c r="F134" s="143">
        <f>F97</f>
        <v>0</v>
      </c>
      <c r="G134" s="143">
        <f>F113</f>
        <v>5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44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Altamir Frederico Guidolin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14</v>
      </c>
      <c r="G148" s="71">
        <f>SUM(H23:I31)</f>
        <v>0</v>
      </c>
      <c r="H148" s="71">
        <f>B134</f>
        <v>18</v>
      </c>
      <c r="I148" s="71">
        <f>C134</f>
        <v>1</v>
      </c>
      <c r="J148" s="71">
        <f>E134</f>
        <v>6</v>
      </c>
      <c r="K148" s="71">
        <f>F134</f>
        <v>0</v>
      </c>
      <c r="Q148" s="71">
        <v>0</v>
      </c>
      <c r="R148" s="71">
        <f>D134</f>
        <v>0</v>
      </c>
      <c r="S148" s="71">
        <f>G134</f>
        <v>5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44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898" priority="26">
      <formula>se+$A$134&lt;$L$35</formula>
    </cfRule>
    <cfRule type="cellIs" dxfId="897" priority="25" operator="lessThan">
      <formula>M35</formula>
    </cfRule>
  </conditionalFormatting>
  <conditionalFormatting sqref="B134">
    <cfRule type="expression" dxfId="896" priority="35">
      <formula>P32=1</formula>
    </cfRule>
  </conditionalFormatting>
  <conditionalFormatting sqref="E134">
    <cfRule type="expression" dxfId="895" priority="20">
      <formula>($E$134&gt;$L$68)</formula>
    </cfRule>
  </conditionalFormatting>
  <conditionalFormatting sqref="F54:F64">
    <cfRule type="cellIs" dxfId="894" priority="18" operator="greaterThan">
      <formula>R54</formula>
    </cfRule>
  </conditionalFormatting>
  <conditionalFormatting sqref="F101:F112">
    <cfRule type="cellIs" dxfId="893" priority="3" operator="notBetween">
      <formula>Q101</formula>
      <formula>R101</formula>
    </cfRule>
  </conditionalFormatting>
  <conditionalFormatting sqref="F70:G80">
    <cfRule type="cellIs" dxfId="892" priority="2" operator="notBetween">
      <formula>Q70</formula>
      <formula>R70</formula>
    </cfRule>
  </conditionalFormatting>
  <conditionalFormatting sqref="J12:J21">
    <cfRule type="expression" dxfId="891" priority="9">
      <formula>P12=1</formula>
    </cfRule>
  </conditionalFormatting>
  <conditionalFormatting sqref="J23:J31">
    <cfRule type="expression" dxfId="890" priority="1">
      <formula>P23=1</formula>
    </cfRule>
  </conditionalFormatting>
  <conditionalFormatting sqref="K37:K49">
    <cfRule type="expression" dxfId="889" priority="27">
      <formula>(K37&gt;R37)</formula>
    </cfRule>
  </conditionalFormatting>
  <conditionalFormatting sqref="K134">
    <cfRule type="cellIs" dxfId="888" priority="33" operator="notEqual">
      <formula>40</formula>
    </cfRule>
  </conditionalFormatting>
  <conditionalFormatting sqref="O85:P91">
    <cfRule type="expression" dxfId="887" priority="47">
      <formula>T82=1</formula>
    </cfRule>
  </conditionalFormatting>
  <conditionalFormatting sqref="O92:P92">
    <cfRule type="expression" dxfId="886" priority="54">
      <formula>T84=1</formula>
    </cfRule>
  </conditionalFormatting>
  <conditionalFormatting sqref="O93:P93">
    <cfRule type="expression" dxfId="885" priority="49">
      <formula>T84=1</formula>
    </cfRule>
  </conditionalFormatting>
  <conditionalFormatting sqref="O94:P94">
    <cfRule type="expression" dxfId="884" priority="48">
      <formula>T84=1</formula>
    </cfRule>
  </conditionalFormatting>
  <conditionalFormatting sqref="O95:P95">
    <cfRule type="expression" dxfId="883" priority="38">
      <formula>T84=1</formula>
    </cfRule>
  </conditionalFormatting>
  <conditionalFormatting sqref="O96:P96">
    <cfRule type="expression" dxfId="882" priority="21">
      <formula>T83=1</formula>
    </cfRule>
  </conditionalFormatting>
  <conditionalFormatting sqref="Q78:Q79">
    <cfRule type="expression" dxfId="881" priority="51">
      <formula>T68=1</formula>
    </cfRule>
  </conditionalFormatting>
  <conditionalFormatting sqref="Q80">
    <cfRule type="expression" dxfId="880" priority="43">
      <formula>S69=1</formula>
    </cfRule>
  </conditionalFormatting>
  <conditionalFormatting sqref="Q81">
    <cfRule type="expression" dxfId="879" priority="42">
      <formula>S69=1</formula>
    </cfRule>
  </conditionalFormatting>
  <conditionalFormatting sqref="Q37:R44">
    <cfRule type="expression" dxfId="878" priority="30">
      <formula>T34=1</formula>
    </cfRule>
  </conditionalFormatting>
  <conditionalFormatting sqref="Q45:R45">
    <cfRule type="expression" dxfId="877" priority="44">
      <formula>T37=1</formula>
    </cfRule>
  </conditionalFormatting>
  <conditionalFormatting sqref="Q46:R46">
    <cfRule type="expression" dxfId="876" priority="22">
      <formula>T37=1</formula>
    </cfRule>
  </conditionalFormatting>
  <conditionalFormatting sqref="Q47:R49">
    <cfRule type="expression" dxfId="875" priority="28">
      <formula>T37=1</formula>
    </cfRule>
  </conditionalFormatting>
  <conditionalFormatting sqref="Q54:R57">
    <cfRule type="expression" dxfId="874" priority="31">
      <formula>T51=1</formula>
    </cfRule>
  </conditionalFormatting>
  <conditionalFormatting sqref="Q58:R63">
    <cfRule type="expression" dxfId="873" priority="23">
      <formula>T52=1</formula>
    </cfRule>
  </conditionalFormatting>
  <conditionalFormatting sqref="Q64:R64">
    <cfRule type="expression" dxfId="872" priority="50">
      <formula>T53=1</formula>
    </cfRule>
  </conditionalFormatting>
  <conditionalFormatting sqref="Q70:R76">
    <cfRule type="expression" dxfId="871" priority="36">
      <formula>T66=1</formula>
    </cfRule>
  </conditionalFormatting>
  <conditionalFormatting sqref="Q77:R77">
    <cfRule type="expression" dxfId="870" priority="29">
      <formula>T68=1</formula>
    </cfRule>
  </conditionalFormatting>
  <conditionalFormatting sqref="Q101:R106 Q107:Q112 R109">
    <cfRule type="expression" dxfId="869" priority="39">
      <formula>T99=1</formula>
    </cfRule>
  </conditionalFormatting>
  <conditionalFormatting sqref="Q113:R113">
    <cfRule type="expression" dxfId="868" priority="34">
      <formula>#REF!=1</formula>
    </cfRule>
  </conditionalFormatting>
  <conditionalFormatting sqref="R78:R79">
    <cfRule type="expression" dxfId="867" priority="46">
      <formula>U67=1</formula>
    </cfRule>
  </conditionalFormatting>
  <conditionalFormatting sqref="R80">
    <cfRule type="expression" dxfId="866" priority="52">
      <formula>U67=1</formula>
    </cfRule>
  </conditionalFormatting>
  <conditionalFormatting sqref="R81">
    <cfRule type="expression" dxfId="865" priority="53">
      <formula>U69=1</formula>
    </cfRule>
  </conditionalFormatting>
  <conditionalFormatting sqref="R107:R108">
    <cfRule type="expression" dxfId="864" priority="55">
      <formula>U101=1</formula>
    </cfRule>
  </conditionalFormatting>
  <conditionalFormatting sqref="R110:R112">
    <cfRule type="expression" dxfId="863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775EF5B7-2271-4C29-9E1F-CBF45B4FC1A2}">
          <x14:formula1>
            <xm:f>Dados!$A$38:$A$39</xm:f>
          </x14:formula1>
          <xm:sqref>H35</xm:sqref>
        </x14:dataValidation>
        <x14:dataValidation type="list" allowBlank="1" showInputMessage="1" showErrorMessage="1" xr:uid="{D0E6302D-1BC2-4569-AA94-9C86A20212B8}">
          <x14:formula1>
            <xm:f>Dados!$A$85:$A$90</xm:f>
          </x14:formula1>
          <xm:sqref>A37:A49</xm:sqref>
        </x14:dataValidation>
        <x14:dataValidation type="list" allowBlank="1" showInputMessage="1" showErrorMessage="1" xr:uid="{0DFF96AE-3FE8-4B52-9067-24AF28FF679C}">
          <x14:formula1>
            <xm:f>Dados!$A$95:$A$99</xm:f>
          </x14:formula1>
          <xm:sqref>D68</xm:sqref>
        </x14:dataValidation>
        <x14:dataValidation type="list" allowBlank="1" showInputMessage="1" showErrorMessage="1" xr:uid="{29FCB30A-8886-4417-8FFE-756093B5C23D}">
          <x14:formula1>
            <xm:f>Dados!$A$44:$A$78</xm:f>
          </x14:formula1>
          <xm:sqref>A101:A112</xm:sqref>
        </x14:dataValidation>
        <x14:dataValidation type="list" allowBlank="1" showInputMessage="1" showErrorMessage="1" xr:uid="{CCD070E0-9874-4F0E-8494-94720BD1D2D7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ADB5812F-3AFB-41FF-8A3A-7BB695CBE0AF}">
          <x14:formula1>
            <xm:f>Dados!$A$108:$A$109</xm:f>
          </x14:formula1>
          <xm:sqref>D54:D64</xm:sqref>
        </x14:dataValidation>
        <x14:dataValidation type="list" allowBlank="1" showInputMessage="1" showErrorMessage="1" xr:uid="{2CA64282-1BCF-458E-9199-332DFAB31B60}">
          <x14:formula1>
            <xm:f>Profs!$A:$A</xm:f>
          </x14:formula1>
          <xm:sqref>A5</xm:sqref>
        </x14:dataValidation>
        <x14:dataValidation type="list" allowBlank="1" showInputMessage="1" showErrorMessage="1" xr:uid="{C274246D-9C44-4737-9C3E-2CA7F98B2DE4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B028B628-30A0-45DD-9093-472530C0ADF2}">
          <x14:formula1>
            <xm:f>'Grade Pós'!$A:$A</xm:f>
          </x14:formula1>
          <xm:sqref>A23:A31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AE44-0280-4D09-B99C-4E64DE3B64DF}">
  <sheetPr>
    <pageSetUpPr fitToPage="1"/>
  </sheetPr>
  <dimension ref="A1:W148"/>
  <sheetViews>
    <sheetView showGridLines="0" topLeftCell="A107" zoomScale="62" zoomScaleNormal="62" workbookViewId="0">
      <selection activeCell="H23" sqref="H23:I23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400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704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3ª</v>
      </c>
      <c r="G12" s="184"/>
      <c r="H12" s="73">
        <v>2</v>
      </c>
      <c r="I12" s="73">
        <v>2</v>
      </c>
      <c r="J12" s="180">
        <v>3</v>
      </c>
      <c r="K12" s="181"/>
      <c r="L12" s="2">
        <f t="shared" ref="L12:L21" si="0">SUM(H12:I12)</f>
        <v>4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</v>
      </c>
      <c r="R12" s="54">
        <f t="shared" ref="R12:R21" si="5">IFERROR(_xlfn.IFS($M$32=1,L12,$M$32=2,L12,$M$32=3,(L12*1.3),$M$32&gt;3,(L12*1.5)),0)</f>
        <v>5.2</v>
      </c>
    </row>
    <row r="13" spans="1:22" ht="15" customHeight="1" x14ac:dyDescent="0.25">
      <c r="A13" s="180" t="s">
        <v>705</v>
      </c>
      <c r="B13" s="181"/>
      <c r="C13" s="182"/>
      <c r="D13" s="183" t="str">
        <f>IFERROR(VLOOKUP(A13,TGradeCurricular[],2,0),"")</f>
        <v>Engenharia Florestal</v>
      </c>
      <c r="E13" s="184"/>
      <c r="F13" s="183" t="str">
        <f>IFERROR(VLOOKUP(A13,TGradeCurricular[],3,0),"")</f>
        <v>3ª</v>
      </c>
      <c r="G13" s="184"/>
      <c r="H13" s="73">
        <v>2</v>
      </c>
      <c r="I13" s="73">
        <v>1</v>
      </c>
      <c r="J13" s="185">
        <v>2</v>
      </c>
      <c r="K13" s="180"/>
      <c r="L13" s="2">
        <f t="shared" si="0"/>
        <v>3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1.5</v>
      </c>
      <c r="R13" s="54">
        <f t="shared" si="5"/>
        <v>3.9000000000000004</v>
      </c>
    </row>
    <row r="14" spans="1:22" ht="15" customHeight="1" x14ac:dyDescent="0.25">
      <c r="A14" s="180" t="s">
        <v>190</v>
      </c>
      <c r="B14" s="181"/>
      <c r="C14" s="182"/>
      <c r="D14" s="183" t="str">
        <f>IFERROR(VLOOKUP(A14,TGradeCurricular[],2,0),"")</f>
        <v>Agronomia</v>
      </c>
      <c r="E14" s="184"/>
      <c r="F14" s="183" t="str">
        <f>IFERROR(VLOOKUP(A14,TGradeCurricular[],3,0),"")</f>
        <v>4ª</v>
      </c>
      <c r="G14" s="184"/>
      <c r="H14" s="73">
        <v>2</v>
      </c>
      <c r="I14" s="73">
        <v>4</v>
      </c>
      <c r="J14" s="185">
        <v>5</v>
      </c>
      <c r="K14" s="180"/>
      <c r="L14" s="2">
        <f t="shared" si="0"/>
        <v>6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3</v>
      </c>
      <c r="R14" s="54">
        <f t="shared" si="5"/>
        <v>7.8000000000000007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IFERROR(VLOOKUP(Andre!$A23,'Grade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IFERROR(VLOOKUP(Andre!$A24,'Grade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IFERROR(VLOOKUP(Andre!$A25,'Grade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IFERROR(VLOOKUP(Andre!$A26,'Grade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IFERROR(VLOOKUP(Andre!$A27,'Grade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IFERROR(VLOOKUP(Andre!$A28,'Grade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IFERROR(VLOOKUP(Andre!$A29,'Grade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IFERROR(VLOOKUP(Andre!$A30,'Grade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IFERROR(VLOOKUP(Andre!$A31,'Grade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10</v>
      </c>
      <c r="K32" s="99">
        <f>SUM(J12:J31)</f>
        <v>10</v>
      </c>
      <c r="L32" s="4">
        <f>SUM(L12:L31)</f>
        <v>13</v>
      </c>
      <c r="M32" s="5">
        <f>SUM(M12:M31)</f>
        <v>3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6.5</v>
      </c>
      <c r="R32" s="101">
        <f t="shared" si="9"/>
        <v>16.900000000000002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IFERROR(VLOOKUP(Andre!$D54,Tabela20[],2,0),0)</f>
        <v>0</v>
      </c>
      <c r="R54" s="54">
        <f>IFERROR(VLOOKUP(Andre!$D54,Tabela20[],3,0),0)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IFERROR(VLOOKUP(Andre!$D55,Tabela20[],2,0),0)</f>
        <v>0</v>
      </c>
      <c r="R55" s="54">
        <f>IFERROR(VLOOKUP(Andre!$D55,Tabela20[],3,0),0)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IFERROR(VLOOKUP(Andre!$D56,Tabela20[],2,0),0)</f>
        <v>0</v>
      </c>
      <c r="R56" s="54">
        <f>IFERROR(VLOOKUP(Andre!$D56,Tabela20[],3,0),0)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IFERROR(VLOOKUP(Andre!$D57,Tabela20[],2,0),0)</f>
        <v>0</v>
      </c>
      <c r="R57" s="54">
        <f>IFERROR(VLOOKUP(Andre!$D57,Tabela20[],3,0),0)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IFERROR(VLOOKUP(Andre!$D58,Tabela20[],2,0),0)</f>
        <v>0</v>
      </c>
      <c r="R58" s="54">
        <f>IFERROR(VLOOKUP(Andre!$D58,Tabela20[],3,0),0)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IFERROR(VLOOKUP(Andre!$D59,Tabela20[],2,0),0)</f>
        <v>0</v>
      </c>
      <c r="R59" s="54">
        <f>IFERROR(VLOOKUP(Andre!$D59,Tabela20[],3,0),0)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IFERROR(VLOOKUP(Andre!$D60,Tabela20[],2,0),0)</f>
        <v>0</v>
      </c>
      <c r="R60" s="54">
        <f>IFERROR(VLOOKUP(Andre!$D60,Tabela20[],3,0),0)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IFERROR(VLOOKUP(Andre!$D61,Tabela20[],2,0),0)</f>
        <v>0</v>
      </c>
      <c r="R61" s="54">
        <f>IFERROR(VLOOKUP(Andre!$D61,Tabela20[],3,0),0)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IFERROR(VLOOKUP(Andre!$D62,Tabela20[],2,0),0)</f>
        <v>0</v>
      </c>
      <c r="R62" s="54">
        <f>IFERROR(VLOOKUP(Andre!$D62,Tabela20[],3,0),0)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IFERROR(VLOOKUP(Andre!$D63,Tabela20[],2,0),0)</f>
        <v>0</v>
      </c>
      <c r="R63" s="54">
        <f>IFERROR(VLOOKUP(Andre!$D63,Tabela20[],3,0),0)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IFERROR(VLOOKUP(Andre!$D64,Tabela20[],2,0),0)</f>
        <v>0</v>
      </c>
      <c r="R64" s="114">
        <f>IFERROR(VLOOKUP(Andre!$D64,Tabela20[],3,0),0)</f>
        <v>0</v>
      </c>
    </row>
    <row r="65" spans="1:23" s="89" customFormat="1" hidden="1" x14ac:dyDescent="0.25">
      <c r="A65" s="89" t="s">
        <v>756</v>
      </c>
      <c r="F65" s="124">
        <f>SUM(Andre!$F$54:$F$64)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IFERROR(VLOOKUP(Andre!$D70,Tabela11[],2),0)</f>
        <v>0</v>
      </c>
      <c r="R70" s="54">
        <f>IFERROR(VLOOKUP(Andre!$D70,Tabela11[],3),0)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IFERROR(VLOOKUP(Andre!$D71,Tabela11[],2),0)</f>
        <v>0</v>
      </c>
      <c r="R71" s="54">
        <f>IFERROR(VLOOKUP(Andre!$D71,Tabela11[],3),0)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IFERROR(VLOOKUP(Andre!$D72,Tabela11[],2),0)</f>
        <v>0</v>
      </c>
      <c r="R72" s="54">
        <f>IFERROR(VLOOKUP(Andre!$D72,Tabela11[],3),0)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IFERROR(VLOOKUP(Andre!$D73,Tabela11[],2),0)</f>
        <v>0</v>
      </c>
      <c r="R73" s="54">
        <f>IFERROR(VLOOKUP(Andre!$D73,Tabela11[],3),0)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IFERROR(VLOOKUP(Andre!$D74,Tabela11[],2),0)</f>
        <v>0</v>
      </c>
      <c r="R74" s="54">
        <f>IFERROR(VLOOKUP(Andre!$D74,Tabela11[],3),0)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IFERROR(VLOOKUP(Andre!$D75,Tabela11[],2),0)</f>
        <v>0</v>
      </c>
      <c r="R75" s="54">
        <f>IFERROR(VLOOKUP(Andre!$D75,Tabela11[],3),0)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IFERROR(VLOOKUP(Andre!$D76,Tabela11[],2),0)</f>
        <v>0</v>
      </c>
      <c r="R76" s="54">
        <f>IFERROR(VLOOKUP(Andre!$D76,Tabela11[],3),0)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IFERROR(VLOOKUP(Andre!$D77,Tabela11[],2),0)</f>
        <v>0</v>
      </c>
      <c r="R77" s="54">
        <f>IFERROR(VLOOKUP(Andre!$D77,Tabela11[],3),0)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IFERROR(VLOOKUP(Andre!$D78,Tabela11[],2),0)</f>
        <v>0</v>
      </c>
      <c r="R78" s="54">
        <f>IFERROR(VLOOKUP(Andre!$D78,Tabela11[],3),0)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IFERROR(VLOOKUP(Andre!$D79,Tabela11[],2),0)</f>
        <v>0</v>
      </c>
      <c r="R79" s="54">
        <f>IFERROR(VLOOKUP(Andre!$D79,Tabela11[],3),0)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IFERROR(VLOOKUP(Andre!$D80,Tabela11[],2),0)</f>
        <v>0</v>
      </c>
      <c r="R80" s="114">
        <f>IFERROR(VLOOKUP(Andre!$D80,Tabela11[],3),0)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IFERROR(VLOOKUP(Andre!$D85,Tabela21[],2,0),0)</f>
        <v>0</v>
      </c>
      <c r="P85" s="54">
        <f>IFERROR(VLOOKUP(Andre!$D85,Tabela21[],3,0),0)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IFERROR(VLOOKUP(Andre!$D86,Tabela21[],2,0),0)</f>
        <v>0</v>
      </c>
      <c r="P86" s="54">
        <f>IFERROR(VLOOKUP(Andre!$D86,Tabela21[],3,0),0)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IFERROR(VLOOKUP(Andre!$D87,Tabela21[],2,0),0)</f>
        <v>0</v>
      </c>
      <c r="P87" s="54">
        <f>IFERROR(VLOOKUP(Andre!$D87,Tabela21[],3,0),0)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IFERROR(VLOOKUP(Andre!$D88,Tabela21[],2,0),0)</f>
        <v>0</v>
      </c>
      <c r="P88" s="54">
        <f>IFERROR(VLOOKUP(Andre!$D88,Tabela21[],3,0),0)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IFERROR(VLOOKUP(Andre!$D89,Tabela21[],2,0),0)</f>
        <v>0</v>
      </c>
      <c r="P89" s="54">
        <f>IFERROR(VLOOKUP(Andre!$D89,Tabela21[],3,0),0)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IFERROR(VLOOKUP(Andre!$D90,Tabela21[],2,0),0)</f>
        <v>0</v>
      </c>
      <c r="P90" s="54">
        <f>IFERROR(VLOOKUP(Andre!$D90,Tabela21[],3,0),0)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IFERROR(VLOOKUP(Andre!$D91,Tabela21[],2,0),0)</f>
        <v>0</v>
      </c>
      <c r="P91" s="54">
        <f>IFERROR(VLOOKUP(Andre!$D91,Tabela21[],3,0),0)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IFERROR(VLOOKUP(Andre!$D92,Tabela21[],2,0),0)</f>
        <v>0</v>
      </c>
      <c r="P92" s="54">
        <f>IFERROR(VLOOKUP(Andre!$D92,Tabela21[],3,0),0)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IFERROR(VLOOKUP(Andre!$D93,Tabela21[],2,0),0)</f>
        <v>0</v>
      </c>
      <c r="P93" s="54">
        <f>IFERROR(VLOOKUP(Andre!$D93,Tabela21[],3,0),0)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IFERROR(VLOOKUP(Andre!$D94,Tabela21[],2,0),0)</f>
        <v>0</v>
      </c>
      <c r="P94" s="54">
        <f>IFERROR(VLOOKUP(Andre!$D94,Tabela21[],3,0),0)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IFERROR(VLOOKUP(Andre!$D95,Tabela21[],2,0),0)</f>
        <v>0</v>
      </c>
      <c r="P95" s="54">
        <f>IFERROR(VLOOKUP(Andre!$D95,Tabela21[],3,0),0)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IFERROR(VLOOKUP(Andre!$D96,Tabela21[],2,0),0)</f>
        <v>0</v>
      </c>
      <c r="P96" s="54">
        <f>IFERROR(VLOOKUP(Andre!$D96,Tabela21[],3,0),0)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IFERROR(VLOOKUP(Andre!$D97,Tabela21[],2,0),0)</f>
        <v>0</v>
      </c>
      <c r="P97" s="136">
        <f>IFERROR(VLOOKUP(Andre!$D97,Tabela21[],3,0),0)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IFERROR(VLOOKUP(Andre!$A101,TFunçõesAdm[],3,0),40)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 t="s">
        <v>816</v>
      </c>
      <c r="B102" s="181"/>
      <c r="C102" s="182"/>
      <c r="D102" s="180"/>
      <c r="E102" s="182"/>
      <c r="F102" s="73">
        <v>2</v>
      </c>
      <c r="G102" s="180"/>
      <c r="H102" s="182"/>
      <c r="I102" s="218"/>
      <c r="J102" s="219"/>
      <c r="K102" s="75"/>
      <c r="L102" s="2">
        <f>IFERROR(VLOOKUP(Andre!$A102,TFunçõesAdm[],3,0),40)</f>
        <v>37</v>
      </c>
      <c r="M102" s="3"/>
      <c r="N102" s="95"/>
      <c r="O102" s="95"/>
      <c r="P102" s="95"/>
      <c r="Q102" s="52">
        <v>0</v>
      </c>
      <c r="R102" s="54">
        <f>IFERROR(VLOOKUP(A102,TFunçõesAdm[],2,FALSE),0)</f>
        <v>3</v>
      </c>
    </row>
    <row r="103" spans="1:22" ht="24" customHeight="1" x14ac:dyDescent="0.25">
      <c r="A103" s="180" t="s">
        <v>808</v>
      </c>
      <c r="B103" s="181"/>
      <c r="C103" s="182"/>
      <c r="D103" s="180"/>
      <c r="E103" s="182"/>
      <c r="F103" s="73">
        <v>1</v>
      </c>
      <c r="G103" s="180"/>
      <c r="H103" s="182"/>
      <c r="I103" s="218"/>
      <c r="J103" s="219"/>
      <c r="K103" s="75"/>
      <c r="L103" s="2">
        <f>IFERROR(VLOOKUP(Andre!$A103,TFunçõesAdm[],3,0),40)</f>
        <v>36</v>
      </c>
      <c r="M103" s="3"/>
      <c r="N103" s="95"/>
      <c r="O103" s="95"/>
      <c r="P103" s="95"/>
      <c r="Q103" s="52">
        <v>0</v>
      </c>
      <c r="R103" s="54">
        <f>IFERROR(VLOOKUP(A103,TFunçõesAdm[],2,FALSE),0)</f>
        <v>4</v>
      </c>
    </row>
    <row r="104" spans="1:22" x14ac:dyDescent="0.25">
      <c r="A104" s="180" t="s">
        <v>807</v>
      </c>
      <c r="B104" s="181"/>
      <c r="C104" s="182"/>
      <c r="D104" s="180"/>
      <c r="E104" s="182"/>
      <c r="F104" s="73">
        <v>1</v>
      </c>
      <c r="G104" s="180"/>
      <c r="H104" s="182"/>
      <c r="I104" s="218"/>
      <c r="J104" s="219"/>
      <c r="K104" s="75"/>
      <c r="L104" s="2">
        <f>IFERROR(VLOOKUP(Andre!$A104,TFunçõesAdm[],3,0),40)</f>
        <v>35</v>
      </c>
      <c r="M104" s="3"/>
      <c r="N104" s="95"/>
      <c r="O104" s="95"/>
      <c r="P104" s="95"/>
      <c r="Q104" s="52">
        <v>0</v>
      </c>
      <c r="R104" s="54">
        <f>IFERROR(VLOOKUP(A104,TFunçõesAdm[],2,FALSE),0)</f>
        <v>5</v>
      </c>
    </row>
    <row r="105" spans="1:22" x14ac:dyDescent="0.25">
      <c r="A105" s="180" t="s">
        <v>805</v>
      </c>
      <c r="B105" s="181"/>
      <c r="C105" s="182"/>
      <c r="D105" s="180"/>
      <c r="E105" s="182"/>
      <c r="F105" s="73">
        <v>8</v>
      </c>
      <c r="G105" s="180"/>
      <c r="H105" s="182"/>
      <c r="I105" s="218"/>
      <c r="J105" s="219"/>
      <c r="K105" s="75"/>
      <c r="L105" s="2">
        <f>IFERROR(VLOOKUP(Andre!$A105,TFunçõesAdm[],3,0),40)</f>
        <v>35</v>
      </c>
      <c r="M105" s="3"/>
      <c r="N105" s="95"/>
      <c r="O105" s="95"/>
      <c r="P105" s="95"/>
      <c r="Q105" s="52">
        <v>0</v>
      </c>
      <c r="R105" s="54">
        <f>IFERROR(VLOOKUP(A105,TFunçõesAdm[],2,FALSE),0)</f>
        <v>5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IFERROR(VLOOKUP(Andre!$A106,TFunçõesAdm[],3,0),40)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IFERROR(VLOOKUP(Andre!$A107,TFunçõesAdm[],3,0),40)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IFERROR(VLOOKUP(Andre!$A108,TFunçõesAdm[],3,0),40)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IFERROR(VLOOKUP(Andre!$A109,TFunçõesAdm[],3,0),40)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IFERROR(VLOOKUP(Andre!$A110,TFunçõesAdm[],3,0),40)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IFERROR(VLOOKUP(Andre!$A111,TFunçõesAdm[],3,0),40)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IFERROR(VLOOKUP(Andre!$A112,TFunçõesAdm[],3,0),40)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17</v>
      </c>
      <c r="G113" s="124"/>
      <c r="H113" s="89"/>
      <c r="I113" s="124"/>
      <c r="J113" s="124"/>
      <c r="K113" s="89"/>
      <c r="L113" s="104">
        <f>MIN(Andre!$L$101:$L$112)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SUM(Andre!$F$123:$F$124)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13</v>
      </c>
      <c r="B134" s="143">
        <f>K32</f>
        <v>10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17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40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André Aníbal Brandt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13</v>
      </c>
      <c r="G148" s="71">
        <f>SUM(H23:I31)</f>
        <v>0</v>
      </c>
      <c r="H148" s="71">
        <f>B134</f>
        <v>10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17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40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862" priority="26">
      <formula>se+$A$134&lt;$L$35</formula>
    </cfRule>
    <cfRule type="cellIs" dxfId="861" priority="25" operator="lessThan">
      <formula>M35</formula>
    </cfRule>
  </conditionalFormatting>
  <conditionalFormatting sqref="B134">
    <cfRule type="expression" dxfId="860" priority="35">
      <formula>P32=1</formula>
    </cfRule>
  </conditionalFormatting>
  <conditionalFormatting sqref="E134">
    <cfRule type="expression" dxfId="859" priority="20">
      <formula>($E$134&gt;$L$68)</formula>
    </cfRule>
  </conditionalFormatting>
  <conditionalFormatting sqref="F54:F64">
    <cfRule type="cellIs" dxfId="858" priority="18" operator="greaterThan">
      <formula>R54</formula>
    </cfRule>
  </conditionalFormatting>
  <conditionalFormatting sqref="F101:F112">
    <cfRule type="cellIs" dxfId="857" priority="3" operator="notBetween">
      <formula>Q101</formula>
      <formula>R101</formula>
    </cfRule>
  </conditionalFormatting>
  <conditionalFormatting sqref="F70:G80">
    <cfRule type="cellIs" dxfId="856" priority="2" operator="notBetween">
      <formula>Q70</formula>
      <formula>R70</formula>
    </cfRule>
  </conditionalFormatting>
  <conditionalFormatting sqref="J12:J21">
    <cfRule type="expression" dxfId="855" priority="9">
      <formula>P12=1</formula>
    </cfRule>
  </conditionalFormatting>
  <conditionalFormatting sqref="J23:J31">
    <cfRule type="expression" dxfId="854" priority="1">
      <formula>P23=1</formula>
    </cfRule>
  </conditionalFormatting>
  <conditionalFormatting sqref="K37:K49">
    <cfRule type="expression" dxfId="853" priority="27">
      <formula>(K37&gt;R37)</formula>
    </cfRule>
  </conditionalFormatting>
  <conditionalFormatting sqref="K134">
    <cfRule type="cellIs" dxfId="852" priority="33" operator="notEqual">
      <formula>40</formula>
    </cfRule>
  </conditionalFormatting>
  <conditionalFormatting sqref="O85:P91">
    <cfRule type="expression" dxfId="851" priority="47">
      <formula>T82=1</formula>
    </cfRule>
  </conditionalFormatting>
  <conditionalFormatting sqref="O92:P92">
    <cfRule type="expression" dxfId="850" priority="54">
      <formula>T84=1</formula>
    </cfRule>
  </conditionalFormatting>
  <conditionalFormatting sqref="O93:P93">
    <cfRule type="expression" dxfId="849" priority="49">
      <formula>T84=1</formula>
    </cfRule>
  </conditionalFormatting>
  <conditionalFormatting sqref="O94:P94">
    <cfRule type="expression" dxfId="848" priority="48">
      <formula>T84=1</formula>
    </cfRule>
  </conditionalFormatting>
  <conditionalFormatting sqref="O95:P95">
    <cfRule type="expression" dxfId="847" priority="38">
      <formula>T84=1</formula>
    </cfRule>
  </conditionalFormatting>
  <conditionalFormatting sqref="O96:P96">
    <cfRule type="expression" dxfId="846" priority="21">
      <formula>T83=1</formula>
    </cfRule>
  </conditionalFormatting>
  <conditionalFormatting sqref="Q78:Q79">
    <cfRule type="expression" dxfId="845" priority="51">
      <formula>T68=1</formula>
    </cfRule>
  </conditionalFormatting>
  <conditionalFormatting sqref="Q80">
    <cfRule type="expression" dxfId="844" priority="43">
      <formula>S69=1</formula>
    </cfRule>
  </conditionalFormatting>
  <conditionalFormatting sqref="Q81">
    <cfRule type="expression" dxfId="843" priority="42">
      <formula>S69=1</formula>
    </cfRule>
  </conditionalFormatting>
  <conditionalFormatting sqref="Q37:R44">
    <cfRule type="expression" dxfId="842" priority="30">
      <formula>T34=1</formula>
    </cfRule>
  </conditionalFormatting>
  <conditionalFormatting sqref="Q45:R45">
    <cfRule type="expression" dxfId="841" priority="44">
      <formula>T37=1</formula>
    </cfRule>
  </conditionalFormatting>
  <conditionalFormatting sqref="Q46:R46">
    <cfRule type="expression" dxfId="840" priority="22">
      <formula>T37=1</formula>
    </cfRule>
  </conditionalFormatting>
  <conditionalFormatting sqref="Q47:R49">
    <cfRule type="expression" dxfId="839" priority="28">
      <formula>T37=1</formula>
    </cfRule>
  </conditionalFormatting>
  <conditionalFormatting sqref="Q54:R57">
    <cfRule type="expression" dxfId="838" priority="31">
      <formula>T51=1</formula>
    </cfRule>
  </conditionalFormatting>
  <conditionalFormatting sqref="Q58:R63">
    <cfRule type="expression" dxfId="837" priority="23">
      <formula>T52=1</formula>
    </cfRule>
  </conditionalFormatting>
  <conditionalFormatting sqref="Q64:R64">
    <cfRule type="expression" dxfId="836" priority="50">
      <formula>T53=1</formula>
    </cfRule>
  </conditionalFormatting>
  <conditionalFormatting sqref="Q70:R76">
    <cfRule type="expression" dxfId="835" priority="36">
      <formula>T66=1</formula>
    </cfRule>
  </conditionalFormatting>
  <conditionalFormatting sqref="Q77:R77">
    <cfRule type="expression" dxfId="834" priority="29">
      <formula>T68=1</formula>
    </cfRule>
  </conditionalFormatting>
  <conditionalFormatting sqref="Q101:R106 Q107:Q112 R109">
    <cfRule type="expression" dxfId="833" priority="39">
      <formula>T99=1</formula>
    </cfRule>
  </conditionalFormatting>
  <conditionalFormatting sqref="Q113:R113">
    <cfRule type="expression" dxfId="832" priority="34">
      <formula>#REF!=1</formula>
    </cfRule>
  </conditionalFormatting>
  <conditionalFormatting sqref="R78:R79">
    <cfRule type="expression" dxfId="831" priority="46">
      <formula>U67=1</formula>
    </cfRule>
  </conditionalFormatting>
  <conditionalFormatting sqref="R80">
    <cfRule type="expression" dxfId="830" priority="52">
      <formula>U67=1</formula>
    </cfRule>
  </conditionalFormatting>
  <conditionalFormatting sqref="R81">
    <cfRule type="expression" dxfId="829" priority="53">
      <formula>U69=1</formula>
    </cfRule>
  </conditionalFormatting>
  <conditionalFormatting sqref="R107:R108">
    <cfRule type="expression" dxfId="828" priority="55">
      <formula>U101=1</formula>
    </cfRule>
  </conditionalFormatting>
  <conditionalFormatting sqref="R110:R112">
    <cfRule type="expression" dxfId="827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56911192-177A-4AA7-A1E1-08312AF83A3C}">
          <x14:formula1>
            <xm:f>'Grade Pós'!$A:$A</xm:f>
          </x14:formula1>
          <xm:sqref>A23:A31</xm:sqref>
        </x14:dataValidation>
        <x14:dataValidation type="list" allowBlank="1" showInputMessage="1" showErrorMessage="1" xr:uid="{0699FD95-5D24-41D7-B02D-7264FF29D00A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3E4F2652-43BC-45A9-9A44-86DE37F65C93}">
          <x14:formula1>
            <xm:f>Profs!$A:$A</xm:f>
          </x14:formula1>
          <xm:sqref>A5</xm:sqref>
        </x14:dataValidation>
        <x14:dataValidation type="list" allowBlank="1" showInputMessage="1" showErrorMessage="1" xr:uid="{08CC9E48-39F3-4981-B571-FBBB5D725165}">
          <x14:formula1>
            <xm:f>Dados!$A$108:$A$109</xm:f>
          </x14:formula1>
          <xm:sqref>D54:D64</xm:sqref>
        </x14:dataValidation>
        <x14:dataValidation type="list" allowBlank="1" showInputMessage="1" showErrorMessage="1" xr:uid="{541E17F6-C7F3-4309-AE35-433CD01E9959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56E12F6A-42C8-4C5A-AD62-5EB62A62681B}">
          <x14:formula1>
            <xm:f>Dados!$A$44:$A$78</xm:f>
          </x14:formula1>
          <xm:sqref>A101:A112</xm:sqref>
        </x14:dataValidation>
        <x14:dataValidation type="list" allowBlank="1" showInputMessage="1" showErrorMessage="1" xr:uid="{C561EFAD-2451-4E6B-982E-556782AD8393}">
          <x14:formula1>
            <xm:f>Dados!$A$95:$A$99</xm:f>
          </x14:formula1>
          <xm:sqref>D68</xm:sqref>
        </x14:dataValidation>
        <x14:dataValidation type="list" allowBlank="1" showInputMessage="1" showErrorMessage="1" xr:uid="{A522B115-9200-4F8C-B031-BDCAF9FC0410}">
          <x14:formula1>
            <xm:f>Dados!$A$85:$A$90</xm:f>
          </x14:formula1>
          <xm:sqref>A37:A49</xm:sqref>
        </x14:dataValidation>
        <x14:dataValidation type="list" allowBlank="1" showInputMessage="1" showErrorMessage="1" xr:uid="{6CB2C55B-C4D3-4EF2-AB32-8813D4D73C5C}">
          <x14:formula1>
            <xm:f>Dados!$A$38:$A$39</xm:f>
          </x14:formula1>
          <xm:sqref>H35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793B3-E3F4-4973-A8BB-02D5169C674A}">
  <sheetPr>
    <pageSetUpPr fitToPage="1"/>
  </sheetPr>
  <dimension ref="A1:W148"/>
  <sheetViews>
    <sheetView showGridLines="0" topLeftCell="A110" zoomScale="77" zoomScaleNormal="77" workbookViewId="0">
      <selection activeCell="R138" sqref="R138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1291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40 horas</v>
      </c>
      <c r="I8" s="160" t="str">
        <f>VLOOKUP(A5,TProfessores[],6,0)</f>
        <v>40 h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205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7ª</v>
      </c>
      <c r="G12" s="184"/>
      <c r="H12" s="73">
        <v>2</v>
      </c>
      <c r="I12" s="73">
        <v>2</v>
      </c>
      <c r="J12" s="180">
        <v>4</v>
      </c>
      <c r="K12" s="181"/>
      <c r="L12" s="2">
        <f t="shared" ref="L12:L21" si="0">SUM(H12:I12)</f>
        <v>4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</v>
      </c>
      <c r="R12" s="54">
        <f t="shared" ref="R12:R21" si="5">IFERROR(_xlfn.IFS($M$32=1,L12,$M$32=2,L12,$M$32=3,(L12*1.3),$M$32&gt;3,(L12*1.5)),0)</f>
        <v>5.2</v>
      </c>
    </row>
    <row r="13" spans="1:22" ht="15" customHeight="1" x14ac:dyDescent="0.25">
      <c r="A13" s="180" t="s">
        <v>887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7ª</v>
      </c>
      <c r="G13" s="184"/>
      <c r="H13" s="73">
        <v>1</v>
      </c>
      <c r="I13" s="73">
        <v>1</v>
      </c>
      <c r="J13" s="185">
        <v>2</v>
      </c>
      <c r="K13" s="180"/>
      <c r="L13" s="2">
        <f t="shared" si="0"/>
        <v>2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1</v>
      </c>
      <c r="R13" s="54">
        <f t="shared" si="5"/>
        <v>2.6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IFERROR(VLOOKUP(Antonio!$A23,'Grade Pós'!A:B,2,0),"")</f>
        <v>PROGRAMA</v>
      </c>
      <c r="E23" s="200"/>
      <c r="F23" s="200"/>
      <c r="G23" s="184"/>
      <c r="H23" s="180">
        <v>4</v>
      </c>
      <c r="I23" s="182"/>
      <c r="J23" s="185">
        <v>4</v>
      </c>
      <c r="K23" s="185"/>
      <c r="L23" s="2">
        <f>SUM(H23:I23)</f>
        <v>4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2</v>
      </c>
      <c r="R23" s="54">
        <f t="shared" ref="R23:R32" si="9">IFERROR(_xlfn.IFS($M$32=1,L23,$M$32=2,L23,$M$32=3,(L23*1.3),$M$32&gt;3,(L23*1.5)),0)</f>
        <v>5.2</v>
      </c>
    </row>
    <row r="24" spans="1:22" ht="26.25" customHeight="1" x14ac:dyDescent="0.25">
      <c r="A24" s="180"/>
      <c r="B24" s="181"/>
      <c r="C24" s="182"/>
      <c r="D24" s="183" t="str">
        <f>IFERROR(VLOOKUP(Antonio!$A24,'Grade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IFERROR(VLOOKUP(Antonio!$A25,'Grade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IFERROR(VLOOKUP(Antonio!$A26,'Grade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IFERROR(VLOOKUP(Antonio!$A27,'Grade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IFERROR(VLOOKUP(Antonio!$A28,'Grade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IFERROR(VLOOKUP(Antonio!$A29,'Grade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IFERROR(VLOOKUP(Antonio!$A30,'Grade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IFERROR(VLOOKUP(Antonio!$A31,'Grade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6</v>
      </c>
      <c r="K32" s="99">
        <f>SUM(J12:J31)</f>
        <v>10</v>
      </c>
      <c r="L32" s="4">
        <f>SUM(L12:L31)</f>
        <v>10</v>
      </c>
      <c r="M32" s="5">
        <f>SUM(M12:M31)</f>
        <v>3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5</v>
      </c>
      <c r="R32" s="101">
        <f t="shared" si="9"/>
        <v>13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115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2</v>
      </c>
    </row>
    <row r="38" spans="1:22" x14ac:dyDescent="0.25">
      <c r="A38" s="180" t="s">
        <v>115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2</v>
      </c>
    </row>
    <row r="39" spans="1:22" x14ac:dyDescent="0.25">
      <c r="A39" s="180" t="s">
        <v>115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2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2</v>
      </c>
    </row>
    <row r="40" spans="1:22" x14ac:dyDescent="0.25">
      <c r="A40" s="180" t="s">
        <v>115</v>
      </c>
      <c r="B40" s="181"/>
      <c r="C40" s="182"/>
      <c r="D40" s="180"/>
      <c r="E40" s="181"/>
      <c r="F40" s="181"/>
      <c r="G40" s="182"/>
      <c r="H40" s="73"/>
      <c r="I40" s="180"/>
      <c r="J40" s="182"/>
      <c r="K40" s="73">
        <v>2</v>
      </c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2</v>
      </c>
    </row>
    <row r="41" spans="1:22" x14ac:dyDescent="0.25">
      <c r="A41" s="180" t="s">
        <v>113</v>
      </c>
      <c r="B41" s="181"/>
      <c r="C41" s="182"/>
      <c r="D41" s="180"/>
      <c r="E41" s="181"/>
      <c r="F41" s="181"/>
      <c r="G41" s="182"/>
      <c r="H41" s="73"/>
      <c r="I41" s="180"/>
      <c r="J41" s="182"/>
      <c r="K41" s="73">
        <v>3</v>
      </c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3</v>
      </c>
    </row>
    <row r="42" spans="1:22" x14ac:dyDescent="0.25">
      <c r="A42" s="180" t="s">
        <v>113</v>
      </c>
      <c r="B42" s="181"/>
      <c r="C42" s="182"/>
      <c r="D42" s="180"/>
      <c r="E42" s="181"/>
      <c r="F42" s="181"/>
      <c r="G42" s="182"/>
      <c r="H42" s="73"/>
      <c r="I42" s="180"/>
      <c r="J42" s="182"/>
      <c r="K42" s="73">
        <v>3</v>
      </c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3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14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14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IFERROR(VLOOKUP(Antonio!$D54,Tabela20[],2,0),0)</f>
        <v>0</v>
      </c>
      <c r="R54" s="54">
        <f>IFERROR(VLOOKUP(Antonio!$D54,Tabela20[],3,0),0)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IFERROR(VLOOKUP(Antonio!$D55,Tabela20[],2,0),0)</f>
        <v>0</v>
      </c>
      <c r="R55" s="54">
        <f>IFERROR(VLOOKUP(Antonio!$D55,Tabela20[],3,0),0)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IFERROR(VLOOKUP(Antonio!$D56,Tabela20[],2,0),0)</f>
        <v>0</v>
      </c>
      <c r="R56" s="54">
        <f>IFERROR(VLOOKUP(Antonio!$D56,Tabela20[],3,0),0)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IFERROR(VLOOKUP(Antonio!$D57,Tabela20[],2,0),0)</f>
        <v>0</v>
      </c>
      <c r="R57" s="54">
        <f>IFERROR(VLOOKUP(Antonio!$D57,Tabela20[],3,0),0)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IFERROR(VLOOKUP(Antonio!$D58,Tabela20[],2,0),0)</f>
        <v>0</v>
      </c>
      <c r="R58" s="54">
        <f>IFERROR(VLOOKUP(Antonio!$D58,Tabela20[],3,0),0)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IFERROR(VLOOKUP(Antonio!$D59,Tabela20[],2,0),0)</f>
        <v>0</v>
      </c>
      <c r="R59" s="54">
        <f>IFERROR(VLOOKUP(Antonio!$D59,Tabela20[],3,0),0)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IFERROR(VLOOKUP(Antonio!$D60,Tabela20[],2,0),0)</f>
        <v>0</v>
      </c>
      <c r="R60" s="54">
        <f>IFERROR(VLOOKUP(Antonio!$D60,Tabela20[],3,0),0)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IFERROR(VLOOKUP(Antonio!$D61,Tabela20[],2,0),0)</f>
        <v>0</v>
      </c>
      <c r="R61" s="54">
        <f>IFERROR(VLOOKUP(Antonio!$D61,Tabela20[],3,0),0)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IFERROR(VLOOKUP(Antonio!$D62,Tabela20[],2,0),0)</f>
        <v>0</v>
      </c>
      <c r="R62" s="54">
        <f>IFERROR(VLOOKUP(Antonio!$D62,Tabela20[],3,0),0)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IFERROR(VLOOKUP(Antonio!$D63,Tabela20[],2,0),0)</f>
        <v>0</v>
      </c>
      <c r="R63" s="54">
        <f>IFERROR(VLOOKUP(Antonio!$D63,Tabela20[],3,0),0)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IFERROR(VLOOKUP(Antonio!$D64,Tabela20[],2,0),0)</f>
        <v>0</v>
      </c>
      <c r="R64" s="114">
        <f>IFERROR(VLOOKUP(Antonio!$D64,Tabela20[],3,0),0)</f>
        <v>0</v>
      </c>
    </row>
    <row r="65" spans="1:23" s="89" customFormat="1" hidden="1" x14ac:dyDescent="0.25">
      <c r="A65" s="89" t="s">
        <v>756</v>
      </c>
      <c r="F65" s="124">
        <f>SUM(Antonio!$F$54:$F$64)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3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IFERROR(VLOOKUP(Antonio!$D70,Tabela11[],2),0)</f>
        <v>0</v>
      </c>
      <c r="R70" s="54">
        <f>IFERROR(VLOOKUP(Antonio!$D70,Tabela11[],3),0)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3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IFERROR(VLOOKUP(Antonio!$D71,Tabela11[],2),0)</f>
        <v>0</v>
      </c>
      <c r="R71" s="54">
        <f>IFERROR(VLOOKUP(Antonio!$D71,Tabela11[],3),0)</f>
        <v>6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IFERROR(VLOOKUP(Antonio!$D72,Tabela11[],2),0)</f>
        <v>0</v>
      </c>
      <c r="R72" s="54">
        <f>IFERROR(VLOOKUP(Antonio!$D72,Tabela11[],3),0)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IFERROR(VLOOKUP(Antonio!$D73,Tabela11[],2),0)</f>
        <v>0</v>
      </c>
      <c r="R73" s="54">
        <f>IFERROR(VLOOKUP(Antonio!$D73,Tabela11[],3),0)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IFERROR(VLOOKUP(Antonio!$D74,Tabela11[],2),0)</f>
        <v>0</v>
      </c>
      <c r="R74" s="54">
        <f>IFERROR(VLOOKUP(Antonio!$D74,Tabela11[],3),0)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IFERROR(VLOOKUP(Antonio!$D75,Tabela11[],2),0)</f>
        <v>0</v>
      </c>
      <c r="R75" s="54">
        <f>IFERROR(VLOOKUP(Antonio!$D75,Tabela11[],3),0)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IFERROR(VLOOKUP(Antonio!$D76,Tabela11[],2),0)</f>
        <v>0</v>
      </c>
      <c r="R76" s="54">
        <f>IFERROR(VLOOKUP(Antonio!$D76,Tabela11[],3),0)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IFERROR(VLOOKUP(Antonio!$D77,Tabela11[],2),0)</f>
        <v>0</v>
      </c>
      <c r="R77" s="54">
        <f>IFERROR(VLOOKUP(Antonio!$D77,Tabela11[],3),0)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IFERROR(VLOOKUP(Antonio!$D78,Tabela11[],2),0)</f>
        <v>0</v>
      </c>
      <c r="R78" s="54">
        <f>IFERROR(VLOOKUP(Antonio!$D78,Tabela11[],3),0)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IFERROR(VLOOKUP(Antonio!$D79,Tabela11[],2),0)</f>
        <v>0</v>
      </c>
      <c r="R79" s="54">
        <f>IFERROR(VLOOKUP(Antonio!$D79,Tabela11[],3),0)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IFERROR(VLOOKUP(Antonio!$D80,Tabela11[],2),0)</f>
        <v>0</v>
      </c>
      <c r="R80" s="114">
        <f>IFERROR(VLOOKUP(Antonio!$D80,Tabela11[],3),0)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6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IFERROR(VLOOKUP(Antonio!$D85,Tabela21[],2,0),0)</f>
        <v>0</v>
      </c>
      <c r="P85" s="54">
        <f>IFERROR(VLOOKUP(Antonio!$D85,Tabela21[],3,0),0)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IFERROR(VLOOKUP(Antonio!$D86,Tabela21[],2,0),0)</f>
        <v>0</v>
      </c>
      <c r="P86" s="54">
        <f>IFERROR(VLOOKUP(Antonio!$D86,Tabela21[],3,0),0)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IFERROR(VLOOKUP(Antonio!$D87,Tabela21[],2,0),0)</f>
        <v>0</v>
      </c>
      <c r="P87" s="54">
        <f>IFERROR(VLOOKUP(Antonio!$D87,Tabela21[],3,0),0)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IFERROR(VLOOKUP(Antonio!$D88,Tabela21[],2,0),0)</f>
        <v>0</v>
      </c>
      <c r="P88" s="54">
        <f>IFERROR(VLOOKUP(Antonio!$D88,Tabela21[],3,0),0)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IFERROR(VLOOKUP(Antonio!$D89,Tabela21[],2,0),0)</f>
        <v>0</v>
      </c>
      <c r="P89" s="54">
        <f>IFERROR(VLOOKUP(Antonio!$D89,Tabela21[],3,0),0)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IFERROR(VLOOKUP(Antonio!$D90,Tabela21[],2,0),0)</f>
        <v>0</v>
      </c>
      <c r="P90" s="54">
        <f>IFERROR(VLOOKUP(Antonio!$D90,Tabela21[],3,0),0)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IFERROR(VLOOKUP(Antonio!$D91,Tabela21[],2,0),0)</f>
        <v>0</v>
      </c>
      <c r="P91" s="54">
        <f>IFERROR(VLOOKUP(Antonio!$D91,Tabela21[],3,0),0)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IFERROR(VLOOKUP(Antonio!$D92,Tabela21[],2,0),0)</f>
        <v>0</v>
      </c>
      <c r="P92" s="54">
        <f>IFERROR(VLOOKUP(Antonio!$D92,Tabela21[],3,0),0)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IFERROR(VLOOKUP(Antonio!$D93,Tabela21[],2,0),0)</f>
        <v>0</v>
      </c>
      <c r="P93" s="54">
        <f>IFERROR(VLOOKUP(Antonio!$D93,Tabela21[],3,0),0)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IFERROR(VLOOKUP(Antonio!$D94,Tabela21[],2,0),0)</f>
        <v>0</v>
      </c>
      <c r="P94" s="54">
        <f>IFERROR(VLOOKUP(Antonio!$D94,Tabela21[],3,0),0)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IFERROR(VLOOKUP(Antonio!$D95,Tabela21[],2,0),0)</f>
        <v>0</v>
      </c>
      <c r="P95" s="54">
        <f>IFERROR(VLOOKUP(Antonio!$D95,Tabela21[],3,0),0)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IFERROR(VLOOKUP(Antonio!$D96,Tabela21[],2,0),0)</f>
        <v>0</v>
      </c>
      <c r="P96" s="54">
        <f>IFERROR(VLOOKUP(Antonio!$D96,Tabela21[],3,0),0)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IFERROR(VLOOKUP(Antonio!$D97,Tabela21[],2,0),0)</f>
        <v>0</v>
      </c>
      <c r="P97" s="136">
        <f>IFERROR(VLOOKUP(Antonio!$D97,Tabela21[],3,0),0)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IFERROR(VLOOKUP(Antonio!$A101,TFunçõesAdm[],3,0),40)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 t="s">
        <v>807</v>
      </c>
      <c r="B102" s="181"/>
      <c r="C102" s="182"/>
      <c r="D102" s="180"/>
      <c r="E102" s="182"/>
      <c r="F102" s="73">
        <v>1</v>
      </c>
      <c r="G102" s="180"/>
      <c r="H102" s="182"/>
      <c r="I102" s="218"/>
      <c r="J102" s="219"/>
      <c r="K102" s="75"/>
      <c r="L102" s="2">
        <f>IFERROR(VLOOKUP(Antonio!$A102,TFunçõesAdm[],3,0),40)</f>
        <v>35</v>
      </c>
      <c r="M102" s="3"/>
      <c r="N102" s="95"/>
      <c r="O102" s="95"/>
      <c r="P102" s="95"/>
      <c r="Q102" s="52">
        <v>0</v>
      </c>
      <c r="R102" s="54">
        <f>IFERROR(VLOOKUP(A102,TFunçõesAdm[],2,FALSE),0)</f>
        <v>5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IFERROR(VLOOKUP(Antonio!$A103,TFunçõesAdm[],3,0),40)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IFERROR(VLOOKUP(Antonio!$A104,TFunçõesAdm[],3,0),40)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IFERROR(VLOOKUP(Antonio!$A105,TFunçõesAdm[],3,0),40)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IFERROR(VLOOKUP(Antonio!$A106,TFunçõesAdm[],3,0),40)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IFERROR(VLOOKUP(Antonio!$A107,TFunçõesAdm[],3,0),40)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IFERROR(VLOOKUP(Antonio!$A108,TFunçõesAdm[],3,0),40)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IFERROR(VLOOKUP(Antonio!$A109,TFunçõesAdm[],3,0),40)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IFERROR(VLOOKUP(Antonio!$A110,TFunçõesAdm[],3,0),40)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IFERROR(VLOOKUP(Antonio!$A111,TFunçõesAdm[],3,0),40)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IFERROR(VLOOKUP(Antonio!$A112,TFunçõesAdm[],3,0),40)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6</v>
      </c>
      <c r="G113" s="124"/>
      <c r="H113" s="89"/>
      <c r="I113" s="124"/>
      <c r="J113" s="124"/>
      <c r="K113" s="89"/>
      <c r="L113" s="104">
        <f>MIN(Antonio!$L$101:$L$112)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SUM(Antonio!$F$123:$F$124)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10</v>
      </c>
      <c r="B134" s="143">
        <f>K32</f>
        <v>10</v>
      </c>
      <c r="C134" s="143">
        <f>K50</f>
        <v>14</v>
      </c>
      <c r="D134" s="143">
        <f>F65</f>
        <v>0</v>
      </c>
      <c r="E134" s="143">
        <f>F81</f>
        <v>6</v>
      </c>
      <c r="F134" s="143">
        <f>F97</f>
        <v>0</v>
      </c>
      <c r="G134" s="143">
        <f>F113</f>
        <v>6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46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Antonio Mendes De Oliveira Neto</v>
      </c>
      <c r="C148" s="26" t="str">
        <f>D8</f>
        <v>Doutor(a)</v>
      </c>
      <c r="D148" s="70" t="str">
        <f>H8</f>
        <v>40 horas</v>
      </c>
      <c r="E148" s="70" t="str">
        <f>I8</f>
        <v>40 h</v>
      </c>
      <c r="F148" s="71">
        <f>SUM(H12:I21)</f>
        <v>6</v>
      </c>
      <c r="G148" s="71">
        <f>SUM(H23:I31)</f>
        <v>4</v>
      </c>
      <c r="H148" s="71">
        <f>B134</f>
        <v>10</v>
      </c>
      <c r="I148" s="71">
        <f>C134</f>
        <v>14</v>
      </c>
      <c r="J148" s="71">
        <f>E134</f>
        <v>6</v>
      </c>
      <c r="K148" s="71">
        <f>F134</f>
        <v>0</v>
      </c>
      <c r="Q148" s="71">
        <v>0</v>
      </c>
      <c r="R148" s="71">
        <f>D134</f>
        <v>0</v>
      </c>
      <c r="S148" s="71">
        <f>G134</f>
        <v>6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46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826" priority="26">
      <formula>se+$A$134&lt;$L$35</formula>
    </cfRule>
    <cfRule type="cellIs" dxfId="825" priority="25" operator="lessThan">
      <formula>M35</formula>
    </cfRule>
  </conditionalFormatting>
  <conditionalFormatting sqref="B134">
    <cfRule type="expression" dxfId="824" priority="35">
      <formula>P32=1</formula>
    </cfRule>
  </conditionalFormatting>
  <conditionalFormatting sqref="E134">
    <cfRule type="expression" dxfId="823" priority="20">
      <formula>($E$134&gt;$L$68)</formula>
    </cfRule>
  </conditionalFormatting>
  <conditionalFormatting sqref="F54:F64">
    <cfRule type="cellIs" dxfId="822" priority="18" operator="greaterThan">
      <formula>R54</formula>
    </cfRule>
  </conditionalFormatting>
  <conditionalFormatting sqref="F101:F112">
    <cfRule type="cellIs" dxfId="821" priority="3" operator="notBetween">
      <formula>Q101</formula>
      <formula>R101</formula>
    </cfRule>
  </conditionalFormatting>
  <conditionalFormatting sqref="F70:G80">
    <cfRule type="cellIs" dxfId="820" priority="2" operator="notBetween">
      <formula>Q70</formula>
      <formula>R70</formula>
    </cfRule>
  </conditionalFormatting>
  <conditionalFormatting sqref="J12:J21">
    <cfRule type="expression" dxfId="819" priority="9">
      <formula>P12=1</formula>
    </cfRule>
  </conditionalFormatting>
  <conditionalFormatting sqref="J23:J31">
    <cfRule type="expression" dxfId="818" priority="1">
      <formula>P23=1</formula>
    </cfRule>
  </conditionalFormatting>
  <conditionalFormatting sqref="K37:K49">
    <cfRule type="expression" dxfId="817" priority="27">
      <formula>(K37&gt;R37)</formula>
    </cfRule>
  </conditionalFormatting>
  <conditionalFormatting sqref="K134">
    <cfRule type="cellIs" dxfId="816" priority="33" operator="notEqual">
      <formula>40</formula>
    </cfRule>
  </conditionalFormatting>
  <conditionalFormatting sqref="O85:P91">
    <cfRule type="expression" dxfId="815" priority="47">
      <formula>T82=1</formula>
    </cfRule>
  </conditionalFormatting>
  <conditionalFormatting sqref="O92:P92">
    <cfRule type="expression" dxfId="814" priority="54">
      <formula>T84=1</formula>
    </cfRule>
  </conditionalFormatting>
  <conditionalFormatting sqref="O93:P93">
    <cfRule type="expression" dxfId="813" priority="49">
      <formula>T84=1</formula>
    </cfRule>
  </conditionalFormatting>
  <conditionalFormatting sqref="O94:P94">
    <cfRule type="expression" dxfId="812" priority="48">
      <formula>T84=1</formula>
    </cfRule>
  </conditionalFormatting>
  <conditionalFormatting sqref="O95:P95">
    <cfRule type="expression" dxfId="811" priority="38">
      <formula>T84=1</formula>
    </cfRule>
  </conditionalFormatting>
  <conditionalFormatting sqref="O96:P96">
    <cfRule type="expression" dxfId="810" priority="21">
      <formula>T83=1</formula>
    </cfRule>
  </conditionalFormatting>
  <conditionalFormatting sqref="Q78:Q79">
    <cfRule type="expression" dxfId="809" priority="51">
      <formula>T68=1</formula>
    </cfRule>
  </conditionalFormatting>
  <conditionalFormatting sqref="Q80">
    <cfRule type="expression" dxfId="808" priority="43">
      <formula>S69=1</formula>
    </cfRule>
  </conditionalFormatting>
  <conditionalFormatting sqref="Q81">
    <cfRule type="expression" dxfId="807" priority="42">
      <formula>S69=1</formula>
    </cfRule>
  </conditionalFormatting>
  <conditionalFormatting sqref="Q37:R44">
    <cfRule type="expression" dxfId="806" priority="30">
      <formula>T34=1</formula>
    </cfRule>
  </conditionalFormatting>
  <conditionalFormatting sqref="Q45:R45">
    <cfRule type="expression" dxfId="805" priority="44">
      <formula>T37=1</formula>
    </cfRule>
  </conditionalFormatting>
  <conditionalFormatting sqref="Q46:R46">
    <cfRule type="expression" dxfId="804" priority="22">
      <formula>T37=1</formula>
    </cfRule>
  </conditionalFormatting>
  <conditionalFormatting sqref="Q47:R49">
    <cfRule type="expression" dxfId="803" priority="28">
      <formula>T37=1</formula>
    </cfRule>
  </conditionalFormatting>
  <conditionalFormatting sqref="Q54:R57">
    <cfRule type="expression" dxfId="802" priority="31">
      <formula>T51=1</formula>
    </cfRule>
  </conditionalFormatting>
  <conditionalFormatting sqref="Q58:R63">
    <cfRule type="expression" dxfId="801" priority="23">
      <formula>T52=1</formula>
    </cfRule>
  </conditionalFormatting>
  <conditionalFormatting sqref="Q64:R64">
    <cfRule type="expression" dxfId="800" priority="50">
      <formula>T53=1</formula>
    </cfRule>
  </conditionalFormatting>
  <conditionalFormatting sqref="Q70:R76">
    <cfRule type="expression" dxfId="799" priority="36">
      <formula>T66=1</formula>
    </cfRule>
  </conditionalFormatting>
  <conditionalFormatting sqref="Q77:R77">
    <cfRule type="expression" dxfId="798" priority="29">
      <formula>T68=1</formula>
    </cfRule>
  </conditionalFormatting>
  <conditionalFormatting sqref="Q101:R106 Q107:Q112 R109">
    <cfRule type="expression" dxfId="797" priority="39">
      <formula>T99=1</formula>
    </cfRule>
  </conditionalFormatting>
  <conditionalFormatting sqref="Q113:R113">
    <cfRule type="expression" dxfId="796" priority="34">
      <formula>#REF!=1</formula>
    </cfRule>
  </conditionalFormatting>
  <conditionalFormatting sqref="R78:R79">
    <cfRule type="expression" dxfId="795" priority="46">
      <formula>U67=1</formula>
    </cfRule>
  </conditionalFormatting>
  <conditionalFormatting sqref="R80">
    <cfRule type="expression" dxfId="794" priority="52">
      <formula>U67=1</formula>
    </cfRule>
  </conditionalFormatting>
  <conditionalFormatting sqref="R81">
    <cfRule type="expression" dxfId="793" priority="53">
      <formula>U69=1</formula>
    </cfRule>
  </conditionalFormatting>
  <conditionalFormatting sqref="R107:R108">
    <cfRule type="expression" dxfId="792" priority="55">
      <formula>U101=1</formula>
    </cfRule>
  </conditionalFormatting>
  <conditionalFormatting sqref="R110:R112">
    <cfRule type="expression" dxfId="791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961F49B8-EA38-4353-A481-897D00975CE8}">
          <x14:formula1>
            <xm:f>Dados!$A$38:$A$39</xm:f>
          </x14:formula1>
          <xm:sqref>H35</xm:sqref>
        </x14:dataValidation>
        <x14:dataValidation type="list" allowBlank="1" showInputMessage="1" showErrorMessage="1" xr:uid="{AF9A8892-65D9-4353-961F-B9D8FFE6A645}">
          <x14:formula1>
            <xm:f>Dados!$A$85:$A$90</xm:f>
          </x14:formula1>
          <xm:sqref>A37:A49</xm:sqref>
        </x14:dataValidation>
        <x14:dataValidation type="list" allowBlank="1" showInputMessage="1" showErrorMessage="1" xr:uid="{22276E1F-C951-4E66-B4AC-4F5515BC5A84}">
          <x14:formula1>
            <xm:f>Dados!$A$95:$A$99</xm:f>
          </x14:formula1>
          <xm:sqref>D68</xm:sqref>
        </x14:dataValidation>
        <x14:dataValidation type="list" allowBlank="1" showInputMessage="1" showErrorMessage="1" xr:uid="{2D26C4D1-C000-4D29-8A6B-F62F73B67BD1}">
          <x14:formula1>
            <xm:f>Dados!$A$44:$A$78</xm:f>
          </x14:formula1>
          <xm:sqref>A101:A112</xm:sqref>
        </x14:dataValidation>
        <x14:dataValidation type="list" allowBlank="1" showInputMessage="1" showErrorMessage="1" xr:uid="{7E1C53ED-98D8-4862-BCA6-6CBBD0E836F4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AB00445D-BC43-4F0A-9474-DA89970670A0}">
          <x14:formula1>
            <xm:f>Dados!$A$108:$A$109</xm:f>
          </x14:formula1>
          <xm:sqref>D54:D64</xm:sqref>
        </x14:dataValidation>
        <x14:dataValidation type="list" allowBlank="1" showInputMessage="1" showErrorMessage="1" xr:uid="{316BBE92-6508-454C-90DA-CE8A6553B307}">
          <x14:formula1>
            <xm:f>Profs!$A:$A</xm:f>
          </x14:formula1>
          <xm:sqref>A5</xm:sqref>
        </x14:dataValidation>
        <x14:dataValidation type="list" allowBlank="1" showInputMessage="1" showErrorMessage="1" xr:uid="{481AE6AF-4C17-41DE-B066-0E69DAE2C19F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6D004813-9215-4B26-906C-3A0FF474DF58}">
          <x14:formula1>
            <xm:f>'Grade Pós'!$A:$A</xm:f>
          </x14:formula1>
          <xm:sqref>A23:A31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3BA7E-685E-4E7F-83EA-1BBB2B35BB62}">
  <sheetPr>
    <pageSetUpPr fitToPage="1"/>
  </sheetPr>
  <dimension ref="A1:W148"/>
  <sheetViews>
    <sheetView showGridLines="0" topLeftCell="A126" zoomScale="69" zoomScaleNormal="69" workbookViewId="0">
      <selection activeCell="J15" sqref="J15:K1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1293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ASSOCIADO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663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1ª</v>
      </c>
      <c r="G12" s="184"/>
      <c r="H12" s="73">
        <v>3</v>
      </c>
      <c r="I12" s="73">
        <v>0</v>
      </c>
      <c r="J12" s="180">
        <v>3</v>
      </c>
      <c r="K12" s="181"/>
      <c r="L12" s="2">
        <f t="shared" ref="L12:L21" si="0">SUM(H12:I12)</f>
        <v>3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1.5</v>
      </c>
      <c r="R12" s="54">
        <f t="shared" ref="R12:R21" si="5">IFERROR(_xlfn.IFS($M$32=1,L12,$M$32=2,L12,$M$32=3,(L12*1.3),$M$32&gt;3,(L12*1.5)),0)</f>
        <v>3.9000000000000004</v>
      </c>
    </row>
    <row r="13" spans="1:22" ht="15" customHeight="1" x14ac:dyDescent="0.25">
      <c r="A13" s="180" t="s">
        <v>663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1ª</v>
      </c>
      <c r="G13" s="184"/>
      <c r="H13" s="73">
        <v>3</v>
      </c>
      <c r="I13" s="73">
        <v>0</v>
      </c>
      <c r="J13" s="185">
        <v>3</v>
      </c>
      <c r="K13" s="180"/>
      <c r="L13" s="2">
        <f t="shared" si="0"/>
        <v>3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1.5</v>
      </c>
      <c r="R13" s="54">
        <f t="shared" si="5"/>
        <v>3.9000000000000004</v>
      </c>
    </row>
    <row r="14" spans="1:22" ht="15" customHeight="1" x14ac:dyDescent="0.25">
      <c r="A14" s="180" t="s">
        <v>198</v>
      </c>
      <c r="B14" s="181"/>
      <c r="C14" s="182"/>
      <c r="D14" s="183" t="str">
        <f>IFERROR(VLOOKUP(A14,TGradeCurricular[],2,0),"")</f>
        <v>Agronomia</v>
      </c>
      <c r="E14" s="184"/>
      <c r="F14" s="183" t="str">
        <f>IFERROR(VLOOKUP(A14,TGradeCurricular[],3,0),"")</f>
        <v>6ª</v>
      </c>
      <c r="G14" s="184"/>
      <c r="H14" s="73">
        <v>2</v>
      </c>
      <c r="I14" s="73">
        <v>6</v>
      </c>
      <c r="J14" s="185">
        <v>8</v>
      </c>
      <c r="K14" s="180"/>
      <c r="L14" s="2">
        <f t="shared" si="0"/>
        <v>8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4</v>
      </c>
      <c r="R14" s="54">
        <f t="shared" si="5"/>
        <v>10.4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IFERROR(VLOOKUP(Carlos!$A23,'Grade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IFERROR(VLOOKUP(Carlos!$A24,'Grade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IFERROR(VLOOKUP(Carlos!$A25,'Grade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IFERROR(VLOOKUP(Carlos!$A26,'Grade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IFERROR(VLOOKUP(Carlos!$A27,'Grade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IFERROR(VLOOKUP(Carlos!$A28,'Grade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IFERROR(VLOOKUP(Carlos!$A29,'Grade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IFERROR(VLOOKUP(Carlos!$A30,'Grade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IFERROR(VLOOKUP(Carlos!$A31,'Grade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14</v>
      </c>
      <c r="K32" s="99">
        <f>SUM(J12:J31)</f>
        <v>14</v>
      </c>
      <c r="L32" s="4">
        <f>SUM(L12:L31)</f>
        <v>14</v>
      </c>
      <c r="M32" s="5">
        <f>SUM(M12:M31)</f>
        <v>3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7</v>
      </c>
      <c r="R32" s="101">
        <f t="shared" si="9"/>
        <v>18.2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115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2</v>
      </c>
    </row>
    <row r="38" spans="1:22" x14ac:dyDescent="0.25">
      <c r="A38" s="180" t="s">
        <v>115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2</v>
      </c>
    </row>
    <row r="39" spans="1:22" x14ac:dyDescent="0.25">
      <c r="A39" s="180" t="s">
        <v>115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2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2</v>
      </c>
    </row>
    <row r="40" spans="1:22" x14ac:dyDescent="0.25">
      <c r="A40" s="180" t="s">
        <v>115</v>
      </c>
      <c r="B40" s="181"/>
      <c r="C40" s="182"/>
      <c r="D40" s="180"/>
      <c r="E40" s="181"/>
      <c r="F40" s="181"/>
      <c r="G40" s="182"/>
      <c r="H40" s="73"/>
      <c r="I40" s="180"/>
      <c r="J40" s="182"/>
      <c r="K40" s="73">
        <v>2</v>
      </c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2</v>
      </c>
    </row>
    <row r="41" spans="1:22" x14ac:dyDescent="0.25">
      <c r="A41" s="180" t="s">
        <v>113</v>
      </c>
      <c r="B41" s="181"/>
      <c r="C41" s="182"/>
      <c r="D41" s="180"/>
      <c r="E41" s="181"/>
      <c r="F41" s="181"/>
      <c r="G41" s="182"/>
      <c r="H41" s="73"/>
      <c r="I41" s="180"/>
      <c r="J41" s="182"/>
      <c r="K41" s="73">
        <v>3</v>
      </c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3</v>
      </c>
    </row>
    <row r="42" spans="1:22" x14ac:dyDescent="0.25">
      <c r="A42" s="180" t="s">
        <v>113</v>
      </c>
      <c r="B42" s="181"/>
      <c r="C42" s="182"/>
      <c r="D42" s="180"/>
      <c r="E42" s="181"/>
      <c r="F42" s="181"/>
      <c r="G42" s="182"/>
      <c r="H42" s="73"/>
      <c r="I42" s="180"/>
      <c r="J42" s="182"/>
      <c r="K42" s="73">
        <v>3</v>
      </c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3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14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14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IFERROR(VLOOKUP(Carlos!$D54,Tabela20[],2,0),0)</f>
        <v>0</v>
      </c>
      <c r="R54" s="54">
        <f>IFERROR(VLOOKUP(Carlos!$D54,Tabela20[],3,0),0)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IFERROR(VLOOKUP(Carlos!$D55,Tabela20[],2,0),0)</f>
        <v>0</v>
      </c>
      <c r="R55" s="54">
        <f>IFERROR(VLOOKUP(Carlos!$D55,Tabela20[],3,0),0)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IFERROR(VLOOKUP(Carlos!$D56,Tabela20[],2,0),0)</f>
        <v>0</v>
      </c>
      <c r="R56" s="54">
        <f>IFERROR(VLOOKUP(Carlos!$D56,Tabela20[],3,0),0)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IFERROR(VLOOKUP(Carlos!$D57,Tabela20[],2,0),0)</f>
        <v>0</v>
      </c>
      <c r="R57" s="54">
        <f>IFERROR(VLOOKUP(Carlos!$D57,Tabela20[],3,0),0)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IFERROR(VLOOKUP(Carlos!$D58,Tabela20[],2,0),0)</f>
        <v>0</v>
      </c>
      <c r="R58" s="54">
        <f>IFERROR(VLOOKUP(Carlos!$D58,Tabela20[],3,0),0)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IFERROR(VLOOKUP(Carlos!$D59,Tabela20[],2,0),0)</f>
        <v>0</v>
      </c>
      <c r="R59" s="54">
        <f>IFERROR(VLOOKUP(Carlos!$D59,Tabela20[],3,0),0)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IFERROR(VLOOKUP(Carlos!$D60,Tabela20[],2,0),0)</f>
        <v>0</v>
      </c>
      <c r="R60" s="54">
        <f>IFERROR(VLOOKUP(Carlos!$D60,Tabela20[],3,0),0)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IFERROR(VLOOKUP(Carlos!$D61,Tabela20[],2,0),0)</f>
        <v>0</v>
      </c>
      <c r="R61" s="54">
        <f>IFERROR(VLOOKUP(Carlos!$D61,Tabela20[],3,0),0)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IFERROR(VLOOKUP(Carlos!$D62,Tabela20[],2,0),0)</f>
        <v>0</v>
      </c>
      <c r="R62" s="54">
        <f>IFERROR(VLOOKUP(Carlos!$D62,Tabela20[],3,0),0)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IFERROR(VLOOKUP(Carlos!$D63,Tabela20[],2,0),0)</f>
        <v>0</v>
      </c>
      <c r="R63" s="54">
        <f>IFERROR(VLOOKUP(Carlos!$D63,Tabela20[],3,0),0)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IFERROR(VLOOKUP(Carlos!$D64,Tabela20[],2,0),0)</f>
        <v>0</v>
      </c>
      <c r="R64" s="114">
        <f>IFERROR(VLOOKUP(Carlos!$D64,Tabela20[],3,0),0)</f>
        <v>0</v>
      </c>
    </row>
    <row r="65" spans="1:23" s="89" customFormat="1" hidden="1" x14ac:dyDescent="0.25">
      <c r="A65" s="89" t="s">
        <v>756</v>
      </c>
      <c r="F65" s="124">
        <f>SUM(Carlos!$F$54:$F$64)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4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IFERROR(VLOOKUP(Carlos!$D70,Tabela11[],2),0)</f>
        <v>0</v>
      </c>
      <c r="R70" s="54">
        <f>IFERROR(VLOOKUP(Carlos!$D70,Tabela11[],3),0)</f>
        <v>6</v>
      </c>
    </row>
    <row r="71" spans="1:23" ht="15" customHeight="1" x14ac:dyDescent="0.25">
      <c r="A71" s="180"/>
      <c r="B71" s="181"/>
      <c r="C71" s="182"/>
      <c r="D71" s="180" t="s">
        <v>793</v>
      </c>
      <c r="E71" s="182"/>
      <c r="F71" s="73">
        <v>2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IFERROR(VLOOKUP(Carlos!$D71,Tabela11[],2),0)</f>
        <v>0</v>
      </c>
      <c r="R71" s="54">
        <f>IFERROR(VLOOKUP(Carlos!$D71,Tabela11[],3),0)</f>
        <v>2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IFERROR(VLOOKUP(Carlos!$D72,Tabela11[],2),0)</f>
        <v>0</v>
      </c>
      <c r="R72" s="54">
        <f>IFERROR(VLOOKUP(Carlos!$D72,Tabela11[],3),0)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IFERROR(VLOOKUP(Carlos!$D73,Tabela11[],2),0)</f>
        <v>0</v>
      </c>
      <c r="R73" s="54">
        <f>IFERROR(VLOOKUP(Carlos!$D73,Tabela11[],3),0)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IFERROR(VLOOKUP(Carlos!$D74,Tabela11[],2),0)</f>
        <v>0</v>
      </c>
      <c r="R74" s="54">
        <f>IFERROR(VLOOKUP(Carlos!$D74,Tabela11[],3),0)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IFERROR(VLOOKUP(Carlos!$D75,Tabela11[],2),0)</f>
        <v>0</v>
      </c>
      <c r="R75" s="54">
        <f>IFERROR(VLOOKUP(Carlos!$D75,Tabela11[],3),0)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IFERROR(VLOOKUP(Carlos!$D76,Tabela11[],2),0)</f>
        <v>0</v>
      </c>
      <c r="R76" s="54">
        <f>IFERROR(VLOOKUP(Carlos!$D76,Tabela11[],3),0)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IFERROR(VLOOKUP(Carlos!$D77,Tabela11[],2),0)</f>
        <v>0</v>
      </c>
      <c r="R77" s="54">
        <f>IFERROR(VLOOKUP(Carlos!$D77,Tabela11[],3),0)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IFERROR(VLOOKUP(Carlos!$D78,Tabela11[],2),0)</f>
        <v>0</v>
      </c>
      <c r="R78" s="54">
        <f>IFERROR(VLOOKUP(Carlos!$D78,Tabela11[],3),0)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IFERROR(VLOOKUP(Carlos!$D79,Tabela11[],2),0)</f>
        <v>0</v>
      </c>
      <c r="R79" s="54">
        <f>IFERROR(VLOOKUP(Carlos!$D79,Tabela11[],3),0)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IFERROR(VLOOKUP(Carlos!$D80,Tabela11[],2),0)</f>
        <v>0</v>
      </c>
      <c r="R80" s="114">
        <f>IFERROR(VLOOKUP(Carlos!$D80,Tabela11[],3),0)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6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>
        <v>4</v>
      </c>
      <c r="G85" s="180"/>
      <c r="H85" s="182"/>
      <c r="I85" s="180"/>
      <c r="J85" s="182"/>
      <c r="K85" s="6"/>
      <c r="L85" s="121"/>
      <c r="M85" s="121"/>
      <c r="N85" s="122"/>
      <c r="O85" s="52">
        <f>IFERROR(VLOOKUP(Carlos!$D85,Tabela21[],2,0),0)</f>
        <v>0</v>
      </c>
      <c r="P85" s="54">
        <f>IFERROR(VLOOKUP(Carlos!$D85,Tabela21[],3,0),0)</f>
        <v>0</v>
      </c>
    </row>
    <row r="86" spans="1:22" x14ac:dyDescent="0.25">
      <c r="A86" s="180"/>
      <c r="B86" s="181"/>
      <c r="C86" s="181"/>
      <c r="D86" s="181"/>
      <c r="E86" s="182"/>
      <c r="F86" s="73">
        <v>2</v>
      </c>
      <c r="G86" s="180"/>
      <c r="H86" s="182"/>
      <c r="I86" s="180"/>
      <c r="J86" s="182"/>
      <c r="K86" s="6"/>
      <c r="L86" s="121"/>
      <c r="M86" s="121"/>
      <c r="N86" s="122"/>
      <c r="O86" s="52">
        <f>IFERROR(VLOOKUP(Carlos!$D86,Tabela21[],2,0),0)</f>
        <v>0</v>
      </c>
      <c r="P86" s="54">
        <f>IFERROR(VLOOKUP(Carlos!$D86,Tabela21[],3,0),0)</f>
        <v>0</v>
      </c>
    </row>
    <row r="87" spans="1:22" x14ac:dyDescent="0.25">
      <c r="A87" s="180"/>
      <c r="B87" s="181"/>
      <c r="C87" s="181"/>
      <c r="D87" s="181"/>
      <c r="E87" s="182"/>
      <c r="F87" s="73">
        <v>2</v>
      </c>
      <c r="G87" s="180"/>
      <c r="H87" s="182"/>
      <c r="I87" s="180"/>
      <c r="J87" s="182"/>
      <c r="K87" s="6"/>
      <c r="L87" s="121"/>
      <c r="M87" s="121"/>
      <c r="N87" s="122"/>
      <c r="O87" s="52">
        <f>IFERROR(VLOOKUP(Carlos!$D87,Tabela21[],2,0),0)</f>
        <v>0</v>
      </c>
      <c r="P87" s="54">
        <f>IFERROR(VLOOKUP(Carlos!$D87,Tabela21[],3,0),0)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IFERROR(VLOOKUP(Carlos!$D88,Tabela21[],2,0),0)</f>
        <v>0</v>
      </c>
      <c r="P88" s="54">
        <f>IFERROR(VLOOKUP(Carlos!$D88,Tabela21[],3,0),0)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IFERROR(VLOOKUP(Carlos!$D89,Tabela21[],2,0),0)</f>
        <v>0</v>
      </c>
      <c r="P89" s="54">
        <f>IFERROR(VLOOKUP(Carlos!$D89,Tabela21[],3,0),0)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IFERROR(VLOOKUP(Carlos!$D90,Tabela21[],2,0),0)</f>
        <v>0</v>
      </c>
      <c r="P90" s="54">
        <f>IFERROR(VLOOKUP(Carlos!$D90,Tabela21[],3,0),0)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IFERROR(VLOOKUP(Carlos!$D91,Tabela21[],2,0),0)</f>
        <v>0</v>
      </c>
      <c r="P91" s="54">
        <f>IFERROR(VLOOKUP(Carlos!$D91,Tabela21[],3,0),0)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IFERROR(VLOOKUP(Carlos!$D92,Tabela21[],2,0),0)</f>
        <v>0</v>
      </c>
      <c r="P92" s="54">
        <f>IFERROR(VLOOKUP(Carlos!$D92,Tabela21[],3,0),0)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IFERROR(VLOOKUP(Carlos!$D93,Tabela21[],2,0),0)</f>
        <v>0</v>
      </c>
      <c r="P93" s="54">
        <f>IFERROR(VLOOKUP(Carlos!$D93,Tabela21[],3,0),0)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IFERROR(VLOOKUP(Carlos!$D94,Tabela21[],2,0),0)</f>
        <v>0</v>
      </c>
      <c r="P94" s="54">
        <f>IFERROR(VLOOKUP(Carlos!$D94,Tabela21[],3,0),0)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IFERROR(VLOOKUP(Carlos!$D95,Tabela21[],2,0),0)</f>
        <v>0</v>
      </c>
      <c r="P95" s="54">
        <f>IFERROR(VLOOKUP(Carlos!$D95,Tabela21[],3,0),0)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IFERROR(VLOOKUP(Carlos!$D96,Tabela21[],2,0),0)</f>
        <v>0</v>
      </c>
      <c r="P96" s="54">
        <f>IFERROR(VLOOKUP(Carlos!$D96,Tabela21[],3,0),0)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8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IFERROR(VLOOKUP(Carlos!$D97,Tabela21[],2,0),0)</f>
        <v>0</v>
      </c>
      <c r="P97" s="136">
        <f>IFERROR(VLOOKUP(Carlos!$D97,Tabela21[],3,0),0)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IFERROR(VLOOKUP(Carlos!$A101,TFunçõesAdm[],3,0),40)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IFERROR(VLOOKUP(Carlos!$A102,TFunçõesAdm[],3,0),40)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IFERROR(VLOOKUP(Carlos!$A103,TFunçõesAdm[],3,0),40)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IFERROR(VLOOKUP(Carlos!$A104,TFunçõesAdm[],3,0),40)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IFERROR(VLOOKUP(Carlos!$A105,TFunçõesAdm[],3,0),40)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IFERROR(VLOOKUP(Carlos!$A106,TFunçõesAdm[],3,0),40)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IFERROR(VLOOKUP(Carlos!$A107,TFunçõesAdm[],3,0),40)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IFERROR(VLOOKUP(Carlos!$A108,TFunçõesAdm[],3,0),40)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IFERROR(VLOOKUP(Carlos!$A109,TFunçõesAdm[],3,0),40)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IFERROR(VLOOKUP(Carlos!$A110,TFunçõesAdm[],3,0),40)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IFERROR(VLOOKUP(Carlos!$A111,TFunçõesAdm[],3,0),40)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IFERROR(VLOOKUP(Carlos!$A112,TFunçõesAdm[],3,0),40)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5</v>
      </c>
      <c r="G113" s="124"/>
      <c r="H113" s="89"/>
      <c r="I113" s="124"/>
      <c r="J113" s="124"/>
      <c r="K113" s="89"/>
      <c r="L113" s="104">
        <f>MIN(Carlos!$L$101:$L$112)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SUM(Carlos!$F$123:$F$124)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14</v>
      </c>
      <c r="B134" s="143">
        <f>K32</f>
        <v>14</v>
      </c>
      <c r="C134" s="143">
        <f>K50</f>
        <v>14</v>
      </c>
      <c r="D134" s="143">
        <f>F65</f>
        <v>0</v>
      </c>
      <c r="E134" s="143">
        <f>F81</f>
        <v>6</v>
      </c>
      <c r="F134" s="143">
        <f>F97</f>
        <v>8</v>
      </c>
      <c r="G134" s="143">
        <f>F113</f>
        <v>5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61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Carlos Augusto De Paiva Sampaio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14</v>
      </c>
      <c r="G148" s="71">
        <f>SUM(H23:I31)</f>
        <v>0</v>
      </c>
      <c r="H148" s="71">
        <f>B134</f>
        <v>14</v>
      </c>
      <c r="I148" s="71">
        <f>C134</f>
        <v>14</v>
      </c>
      <c r="J148" s="71">
        <f>E134</f>
        <v>6</v>
      </c>
      <c r="K148" s="71">
        <f>F134</f>
        <v>8</v>
      </c>
      <c r="Q148" s="71">
        <v>0</v>
      </c>
      <c r="R148" s="71">
        <f>D134</f>
        <v>0</v>
      </c>
      <c r="S148" s="71">
        <f>G134</f>
        <v>5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61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790" priority="26">
      <formula>se+$A$134&lt;$L$35</formula>
    </cfRule>
    <cfRule type="cellIs" dxfId="789" priority="25" operator="lessThan">
      <formula>M35</formula>
    </cfRule>
  </conditionalFormatting>
  <conditionalFormatting sqref="B134">
    <cfRule type="expression" dxfId="788" priority="35">
      <formula>P32=1</formula>
    </cfRule>
  </conditionalFormatting>
  <conditionalFormatting sqref="E134">
    <cfRule type="expression" dxfId="787" priority="20">
      <formula>($E$134&gt;$L$68)</formula>
    </cfRule>
  </conditionalFormatting>
  <conditionalFormatting sqref="F54:F64">
    <cfRule type="cellIs" dxfId="786" priority="18" operator="greaterThan">
      <formula>R54</formula>
    </cfRule>
  </conditionalFormatting>
  <conditionalFormatting sqref="F101:F112">
    <cfRule type="cellIs" dxfId="785" priority="3" operator="notBetween">
      <formula>Q101</formula>
      <formula>R101</formula>
    </cfRule>
  </conditionalFormatting>
  <conditionalFormatting sqref="F70:G80">
    <cfRule type="cellIs" dxfId="784" priority="2" operator="notBetween">
      <formula>Q70</formula>
      <formula>R70</formula>
    </cfRule>
  </conditionalFormatting>
  <conditionalFormatting sqref="J12:J21">
    <cfRule type="expression" dxfId="783" priority="9">
      <formula>P12=1</formula>
    </cfRule>
  </conditionalFormatting>
  <conditionalFormatting sqref="J23:J31">
    <cfRule type="expression" dxfId="782" priority="1">
      <formula>P23=1</formula>
    </cfRule>
  </conditionalFormatting>
  <conditionalFormatting sqref="K37:K49">
    <cfRule type="expression" dxfId="781" priority="27">
      <formula>(K37&gt;R37)</formula>
    </cfRule>
  </conditionalFormatting>
  <conditionalFormatting sqref="K134">
    <cfRule type="cellIs" dxfId="780" priority="33" operator="notEqual">
      <formula>40</formula>
    </cfRule>
  </conditionalFormatting>
  <conditionalFormatting sqref="O85:P91">
    <cfRule type="expression" dxfId="779" priority="47">
      <formula>T82=1</formula>
    </cfRule>
  </conditionalFormatting>
  <conditionalFormatting sqref="O92:P92">
    <cfRule type="expression" dxfId="778" priority="54">
      <formula>T84=1</formula>
    </cfRule>
  </conditionalFormatting>
  <conditionalFormatting sqref="O93:P93">
    <cfRule type="expression" dxfId="777" priority="49">
      <formula>T84=1</formula>
    </cfRule>
  </conditionalFormatting>
  <conditionalFormatting sqref="O94:P94">
    <cfRule type="expression" dxfId="776" priority="48">
      <formula>T84=1</formula>
    </cfRule>
  </conditionalFormatting>
  <conditionalFormatting sqref="O95:P95">
    <cfRule type="expression" dxfId="775" priority="38">
      <formula>T84=1</formula>
    </cfRule>
  </conditionalFormatting>
  <conditionalFormatting sqref="O96:P96">
    <cfRule type="expression" dxfId="774" priority="21">
      <formula>T83=1</formula>
    </cfRule>
  </conditionalFormatting>
  <conditionalFormatting sqref="Q78:Q79">
    <cfRule type="expression" dxfId="773" priority="51">
      <formula>T68=1</formula>
    </cfRule>
  </conditionalFormatting>
  <conditionalFormatting sqref="Q80">
    <cfRule type="expression" dxfId="772" priority="43">
      <formula>S69=1</formula>
    </cfRule>
  </conditionalFormatting>
  <conditionalFormatting sqref="Q81">
    <cfRule type="expression" dxfId="771" priority="42">
      <formula>S69=1</formula>
    </cfRule>
  </conditionalFormatting>
  <conditionalFormatting sqref="Q37:R44">
    <cfRule type="expression" dxfId="770" priority="30">
      <formula>T34=1</formula>
    </cfRule>
  </conditionalFormatting>
  <conditionalFormatting sqref="Q45:R45">
    <cfRule type="expression" dxfId="769" priority="44">
      <formula>T37=1</formula>
    </cfRule>
  </conditionalFormatting>
  <conditionalFormatting sqref="Q46:R46">
    <cfRule type="expression" dxfId="768" priority="22">
      <formula>T37=1</formula>
    </cfRule>
  </conditionalFormatting>
  <conditionalFormatting sqref="Q47:R49">
    <cfRule type="expression" dxfId="767" priority="28">
      <formula>T37=1</formula>
    </cfRule>
  </conditionalFormatting>
  <conditionalFormatting sqref="Q54:R57">
    <cfRule type="expression" dxfId="766" priority="31">
      <formula>T51=1</formula>
    </cfRule>
  </conditionalFormatting>
  <conditionalFormatting sqref="Q58:R63">
    <cfRule type="expression" dxfId="765" priority="23">
      <formula>T52=1</formula>
    </cfRule>
  </conditionalFormatting>
  <conditionalFormatting sqref="Q64:R64">
    <cfRule type="expression" dxfId="764" priority="50">
      <formula>T53=1</formula>
    </cfRule>
  </conditionalFormatting>
  <conditionalFormatting sqref="Q70:R76">
    <cfRule type="expression" dxfId="763" priority="36">
      <formula>T66=1</formula>
    </cfRule>
  </conditionalFormatting>
  <conditionalFormatting sqref="Q77:R77">
    <cfRule type="expression" dxfId="762" priority="29">
      <formula>T68=1</formula>
    </cfRule>
  </conditionalFormatting>
  <conditionalFormatting sqref="Q101:R106 Q107:Q112 R109">
    <cfRule type="expression" dxfId="761" priority="39">
      <formula>T99=1</formula>
    </cfRule>
  </conditionalFormatting>
  <conditionalFormatting sqref="Q113:R113">
    <cfRule type="expression" dxfId="760" priority="34">
      <formula>#REF!=1</formula>
    </cfRule>
  </conditionalFormatting>
  <conditionalFormatting sqref="R78:R79">
    <cfRule type="expression" dxfId="759" priority="46">
      <formula>U67=1</formula>
    </cfRule>
  </conditionalFormatting>
  <conditionalFormatting sqref="R80">
    <cfRule type="expression" dxfId="758" priority="52">
      <formula>U67=1</formula>
    </cfRule>
  </conditionalFormatting>
  <conditionalFormatting sqref="R81">
    <cfRule type="expression" dxfId="757" priority="53">
      <formula>U69=1</formula>
    </cfRule>
  </conditionalFormatting>
  <conditionalFormatting sqref="R107:R108">
    <cfRule type="expression" dxfId="756" priority="55">
      <formula>U101=1</formula>
    </cfRule>
  </conditionalFormatting>
  <conditionalFormatting sqref="R110:R112">
    <cfRule type="expression" dxfId="755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2D795D12-B873-448F-8627-C4E493B9D404}">
          <x14:formula1>
            <xm:f>'Grade Pós'!$A:$A</xm:f>
          </x14:formula1>
          <xm:sqref>A23:A31</xm:sqref>
        </x14:dataValidation>
        <x14:dataValidation type="list" allowBlank="1" showInputMessage="1" showErrorMessage="1" xr:uid="{4437950A-571A-46F6-B4FC-B114EB53A0FE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F7F8572D-A32D-49BA-AE1E-1C82752BA4F7}">
          <x14:formula1>
            <xm:f>Profs!$A:$A</xm:f>
          </x14:formula1>
          <xm:sqref>A5</xm:sqref>
        </x14:dataValidation>
        <x14:dataValidation type="list" allowBlank="1" showInputMessage="1" showErrorMessage="1" xr:uid="{7E16B130-6EC5-472F-B851-DD671E40DF93}">
          <x14:formula1>
            <xm:f>Dados!$A$108:$A$109</xm:f>
          </x14:formula1>
          <xm:sqref>D54:D64</xm:sqref>
        </x14:dataValidation>
        <x14:dataValidation type="list" allowBlank="1" showInputMessage="1" showErrorMessage="1" xr:uid="{DB2F4BB5-944D-478F-B323-D2B3BD21EFDA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006D7130-0E30-4417-8887-218327C63CF0}">
          <x14:formula1>
            <xm:f>Dados!$A$44:$A$78</xm:f>
          </x14:formula1>
          <xm:sqref>A101:A112</xm:sqref>
        </x14:dataValidation>
        <x14:dataValidation type="list" allowBlank="1" showInputMessage="1" showErrorMessage="1" xr:uid="{38F14005-0360-4FE9-94DA-14BD2C4AA038}">
          <x14:formula1>
            <xm:f>Dados!$A$95:$A$99</xm:f>
          </x14:formula1>
          <xm:sqref>D68</xm:sqref>
        </x14:dataValidation>
        <x14:dataValidation type="list" allowBlank="1" showInputMessage="1" showErrorMessage="1" xr:uid="{714B2E15-B781-4C59-BF46-E2BA89B73E8F}">
          <x14:formula1>
            <xm:f>Dados!$A$85:$A$90</xm:f>
          </x14:formula1>
          <xm:sqref>A37:A49</xm:sqref>
        </x14:dataValidation>
        <x14:dataValidation type="list" allowBlank="1" showInputMessage="1" showErrorMessage="1" xr:uid="{39C21A84-AA38-4B23-9998-3FE36785E145}">
          <x14:formula1>
            <xm:f>Dados!$A$38:$A$39</xm:f>
          </x14:formula1>
          <xm:sqref>H35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BF92-6967-42DC-9918-BDB03589AEA1}">
  <sheetPr>
    <pageSetUpPr fitToPage="1"/>
  </sheetPr>
  <dimension ref="A1:W148"/>
  <sheetViews>
    <sheetView showGridLines="0" topLeftCell="A103" zoomScale="71" zoomScaleNormal="71" workbookViewId="0">
      <selection activeCell="K135" sqref="K13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1294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/>
      <c r="B12" s="181"/>
      <c r="C12" s="182"/>
      <c r="D12" s="183" t="str">
        <f>IFERROR(VLOOKUP(A12,TGradeCurricular[],2,0),"")</f>
        <v/>
      </c>
      <c r="E12" s="184"/>
      <c r="F12" s="183" t="str">
        <f>IFERROR(VLOOKUP(A12,TGradeCurricular[],3,0),"")</f>
        <v/>
      </c>
      <c r="G12" s="184"/>
      <c r="H12" s="73"/>
      <c r="I12" s="73"/>
      <c r="J12" s="180"/>
      <c r="K12" s="181"/>
      <c r="L12" s="2">
        <f t="shared" ref="L12:L21" si="0">SUM(H12:I12)</f>
        <v>0</v>
      </c>
      <c r="M12" s="3">
        <f t="shared" ref="M12:M21" si="1">IF(A12&lt;&gt;0,1,0)</f>
        <v>0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</v>
      </c>
      <c r="R12" s="54">
        <f t="shared" ref="R12:R21" si="5">IFERROR(_xlfn.IFS($M$32=1,L12,$M$32=2,L12,$M$32=3,(L12*1.3),$M$32&gt;3,(L12*1.5)),0)</f>
        <v>0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IFERROR(VLOOKUP(Cassandro!$A23,'Grade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IFERROR(VLOOKUP(Cassandro!$A24,'Grade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IFERROR(VLOOKUP(Cassandro!$A25,'Grade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IFERROR(VLOOKUP(Cassandro!$A26,'Grade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IFERROR(VLOOKUP(Cassandro!$A27,'Grade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IFERROR(VLOOKUP(Cassandro!$A28,'Grade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IFERROR(VLOOKUP(Cassandro!$A29,'Grade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IFERROR(VLOOKUP(Cassandro!$A30,'Grade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IFERROR(VLOOKUP(Cassandro!$A31,'Grade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0</v>
      </c>
      <c r="M32" s="5">
        <f>SUM(M12:M31)</f>
        <v>0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0</v>
      </c>
      <c r="R32" s="101">
        <f t="shared" si="9"/>
        <v>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IFERROR(VLOOKUP(Cassandro!$D54,Tabela20[],2,0),0)</f>
        <v>0</v>
      </c>
      <c r="R54" s="54">
        <f>IFERROR(VLOOKUP(Cassandro!$D54,Tabela20[],3,0),0)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IFERROR(VLOOKUP(Cassandro!$D55,Tabela20[],2,0),0)</f>
        <v>0</v>
      </c>
      <c r="R55" s="54">
        <f>IFERROR(VLOOKUP(Cassandro!$D55,Tabela20[],3,0),0)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IFERROR(VLOOKUP(Cassandro!$D56,Tabela20[],2,0),0)</f>
        <v>0</v>
      </c>
      <c r="R56" s="54">
        <f>IFERROR(VLOOKUP(Cassandro!$D56,Tabela20[],3,0),0)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IFERROR(VLOOKUP(Cassandro!$D57,Tabela20[],2,0),0)</f>
        <v>0</v>
      </c>
      <c r="R57" s="54">
        <f>IFERROR(VLOOKUP(Cassandro!$D57,Tabela20[],3,0),0)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IFERROR(VLOOKUP(Cassandro!$D58,Tabela20[],2,0),0)</f>
        <v>0</v>
      </c>
      <c r="R58" s="54">
        <f>IFERROR(VLOOKUP(Cassandro!$D58,Tabela20[],3,0),0)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IFERROR(VLOOKUP(Cassandro!$D59,Tabela20[],2,0),0)</f>
        <v>0</v>
      </c>
      <c r="R59" s="54">
        <f>IFERROR(VLOOKUP(Cassandro!$D59,Tabela20[],3,0),0)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IFERROR(VLOOKUP(Cassandro!$D60,Tabela20[],2,0),0)</f>
        <v>0</v>
      </c>
      <c r="R60" s="54">
        <f>IFERROR(VLOOKUP(Cassandro!$D60,Tabela20[],3,0),0)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IFERROR(VLOOKUP(Cassandro!$D61,Tabela20[],2,0),0)</f>
        <v>0</v>
      </c>
      <c r="R61" s="54">
        <f>IFERROR(VLOOKUP(Cassandro!$D61,Tabela20[],3,0),0)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IFERROR(VLOOKUP(Cassandro!$D62,Tabela20[],2,0),0)</f>
        <v>0</v>
      </c>
      <c r="R62" s="54">
        <f>IFERROR(VLOOKUP(Cassandro!$D62,Tabela20[],3,0),0)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IFERROR(VLOOKUP(Cassandro!$D63,Tabela20[],2,0),0)</f>
        <v>0</v>
      </c>
      <c r="R63" s="54">
        <f>IFERROR(VLOOKUP(Cassandro!$D63,Tabela20[],3,0),0)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IFERROR(VLOOKUP(Cassandro!$D64,Tabela20[],2,0),0)</f>
        <v>0</v>
      </c>
      <c r="R64" s="114">
        <f>IFERROR(VLOOKUP(Cassandro!$D64,Tabela20[],3,0),0)</f>
        <v>0</v>
      </c>
    </row>
    <row r="65" spans="1:23" s="89" customFormat="1" hidden="1" x14ac:dyDescent="0.25">
      <c r="A65" s="89" t="s">
        <v>756</v>
      </c>
      <c r="F65" s="124">
        <f>SUM(Cassandro!$F$54:$F$64)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IFERROR(VLOOKUP(Cassandro!$D70,Tabela11[],2),0)</f>
        <v>0</v>
      </c>
      <c r="R70" s="54">
        <f>IFERROR(VLOOKUP(Cassandro!$D70,Tabela11[],3),0)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IFERROR(VLOOKUP(Cassandro!$D71,Tabela11[],2),0)</f>
        <v>0</v>
      </c>
      <c r="R71" s="54">
        <f>IFERROR(VLOOKUP(Cassandro!$D71,Tabela11[],3),0)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IFERROR(VLOOKUP(Cassandro!$D72,Tabela11[],2),0)</f>
        <v>0</v>
      </c>
      <c r="R72" s="54">
        <f>IFERROR(VLOOKUP(Cassandro!$D72,Tabela11[],3),0)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IFERROR(VLOOKUP(Cassandro!$D73,Tabela11[],2),0)</f>
        <v>0</v>
      </c>
      <c r="R73" s="54">
        <f>IFERROR(VLOOKUP(Cassandro!$D73,Tabela11[],3),0)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IFERROR(VLOOKUP(Cassandro!$D74,Tabela11[],2),0)</f>
        <v>0</v>
      </c>
      <c r="R74" s="54">
        <f>IFERROR(VLOOKUP(Cassandro!$D74,Tabela11[],3),0)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IFERROR(VLOOKUP(Cassandro!$D75,Tabela11[],2),0)</f>
        <v>0</v>
      </c>
      <c r="R75" s="54">
        <f>IFERROR(VLOOKUP(Cassandro!$D75,Tabela11[],3),0)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IFERROR(VLOOKUP(Cassandro!$D76,Tabela11[],2),0)</f>
        <v>0</v>
      </c>
      <c r="R76" s="54">
        <f>IFERROR(VLOOKUP(Cassandro!$D76,Tabela11[],3),0)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IFERROR(VLOOKUP(Cassandro!$D77,Tabela11[],2),0)</f>
        <v>0</v>
      </c>
      <c r="R77" s="54">
        <f>IFERROR(VLOOKUP(Cassandro!$D77,Tabela11[],3),0)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IFERROR(VLOOKUP(Cassandro!$D78,Tabela11[],2),0)</f>
        <v>0</v>
      </c>
      <c r="R78" s="54">
        <f>IFERROR(VLOOKUP(Cassandro!$D78,Tabela11[],3),0)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IFERROR(VLOOKUP(Cassandro!$D79,Tabela11[],2),0)</f>
        <v>0</v>
      </c>
      <c r="R79" s="54">
        <f>IFERROR(VLOOKUP(Cassandro!$D79,Tabela11[],3),0)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IFERROR(VLOOKUP(Cassandro!$D80,Tabela11[],2),0)</f>
        <v>0</v>
      </c>
      <c r="R80" s="114">
        <f>IFERROR(VLOOKUP(Cassandro!$D80,Tabela11[],3),0)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IFERROR(VLOOKUP(Cassandro!$D85,Tabela21[],2,0),0)</f>
        <v>0</v>
      </c>
      <c r="P85" s="54">
        <f>IFERROR(VLOOKUP(Cassandro!$D85,Tabela21[],3,0),0)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IFERROR(VLOOKUP(Cassandro!$D86,Tabela21[],2,0),0)</f>
        <v>0</v>
      </c>
      <c r="P86" s="54">
        <f>IFERROR(VLOOKUP(Cassandro!$D86,Tabela21[],3,0),0)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IFERROR(VLOOKUP(Cassandro!$D87,Tabela21[],2,0),0)</f>
        <v>0</v>
      </c>
      <c r="P87" s="54">
        <f>IFERROR(VLOOKUP(Cassandro!$D87,Tabela21[],3,0),0)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IFERROR(VLOOKUP(Cassandro!$D88,Tabela21[],2,0),0)</f>
        <v>0</v>
      </c>
      <c r="P88" s="54">
        <f>IFERROR(VLOOKUP(Cassandro!$D88,Tabela21[],3,0),0)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IFERROR(VLOOKUP(Cassandro!$D89,Tabela21[],2,0),0)</f>
        <v>0</v>
      </c>
      <c r="P89" s="54">
        <f>IFERROR(VLOOKUP(Cassandro!$D89,Tabela21[],3,0),0)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IFERROR(VLOOKUP(Cassandro!$D90,Tabela21[],2,0),0)</f>
        <v>0</v>
      </c>
      <c r="P90" s="54">
        <f>IFERROR(VLOOKUP(Cassandro!$D90,Tabela21[],3,0),0)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IFERROR(VLOOKUP(Cassandro!$D91,Tabela21[],2,0),0)</f>
        <v>0</v>
      </c>
      <c r="P91" s="54">
        <f>IFERROR(VLOOKUP(Cassandro!$D91,Tabela21[],3,0),0)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IFERROR(VLOOKUP(Cassandro!$D92,Tabela21[],2,0),0)</f>
        <v>0</v>
      </c>
      <c r="P92" s="54">
        <f>IFERROR(VLOOKUP(Cassandro!$D92,Tabela21[],3,0),0)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IFERROR(VLOOKUP(Cassandro!$D93,Tabela21[],2,0),0)</f>
        <v>0</v>
      </c>
      <c r="P93" s="54">
        <f>IFERROR(VLOOKUP(Cassandro!$D93,Tabela21[],3,0),0)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IFERROR(VLOOKUP(Cassandro!$D94,Tabela21[],2,0),0)</f>
        <v>0</v>
      </c>
      <c r="P94" s="54">
        <f>IFERROR(VLOOKUP(Cassandro!$D94,Tabela21[],3,0),0)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IFERROR(VLOOKUP(Cassandro!$D95,Tabela21[],2,0),0)</f>
        <v>0</v>
      </c>
      <c r="P95" s="54">
        <f>IFERROR(VLOOKUP(Cassandro!$D95,Tabela21[],3,0),0)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IFERROR(VLOOKUP(Cassandro!$D96,Tabela21[],2,0),0)</f>
        <v>0</v>
      </c>
      <c r="P96" s="54">
        <f>IFERROR(VLOOKUP(Cassandro!$D96,Tabela21[],3,0),0)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IFERROR(VLOOKUP(Cassandro!$D97,Tabela21[],2,0),0)</f>
        <v>0</v>
      </c>
      <c r="P97" s="136">
        <f>IFERROR(VLOOKUP(Cassandro!$D97,Tabela21[],3,0),0)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IFERROR(VLOOKUP(Cassandro!$A101,TFunçõesAdm[],3,0),40)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IFERROR(VLOOKUP(Cassandro!$A102,TFunçõesAdm[],3,0),40)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IFERROR(VLOOKUP(Cassandro!$A103,TFunçõesAdm[],3,0),40)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IFERROR(VLOOKUP(Cassandro!$A104,TFunçõesAdm[],3,0),40)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IFERROR(VLOOKUP(Cassandro!$A105,TFunçõesAdm[],3,0),40)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IFERROR(VLOOKUP(Cassandro!$A106,TFunçõesAdm[],3,0),40)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IFERROR(VLOOKUP(Cassandro!$A107,TFunçõesAdm[],3,0),40)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IFERROR(VLOOKUP(Cassandro!$A108,TFunçõesAdm[],3,0),40)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IFERROR(VLOOKUP(Cassandro!$A109,TFunçõesAdm[],3,0),40)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IFERROR(VLOOKUP(Cassandro!$A110,TFunçõesAdm[],3,0),40)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IFERROR(VLOOKUP(Cassandro!$A111,TFunçõesAdm[],3,0),40)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IFERROR(VLOOKUP(Cassandro!$A112,TFunçõesAdm[],3,0),40)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MIN(Cassandro!$L$101:$L$112)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 t="s">
        <v>1406</v>
      </c>
      <c r="B123" s="181"/>
      <c r="C123" s="181"/>
      <c r="D123" s="181"/>
      <c r="E123" s="182"/>
      <c r="F123" s="73">
        <v>40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SUM(Cassandro!$F$123:$F$124)</f>
        <v>40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40</v>
      </c>
      <c r="J134" s="144">
        <f>K130</f>
        <v>0</v>
      </c>
      <c r="K134" s="143">
        <f>SUM(A134:J134)</f>
        <v>40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Cassandro Vidal Talamini Do Amarante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40</v>
      </c>
      <c r="W148" s="71">
        <f>SUM(F148:V148)</f>
        <v>40</v>
      </c>
    </row>
  </sheetData>
  <sheetProtection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B134">
    <cfRule type="expression" dxfId="754" priority="35">
      <formula>P32=1</formula>
    </cfRule>
  </conditionalFormatting>
  <conditionalFormatting sqref="E134">
    <cfRule type="expression" dxfId="753" priority="20">
      <formula>($E$134&gt;$L$68)</formula>
    </cfRule>
  </conditionalFormatting>
  <conditionalFormatting sqref="F54:F64">
    <cfRule type="cellIs" dxfId="752" priority="18" operator="greaterThan">
      <formula>R54</formula>
    </cfRule>
  </conditionalFormatting>
  <conditionalFormatting sqref="F101:F112">
    <cfRule type="cellIs" dxfId="751" priority="3" operator="notBetween">
      <formula>Q101</formula>
      <formula>R101</formula>
    </cfRule>
  </conditionalFormatting>
  <conditionalFormatting sqref="F70:G80">
    <cfRule type="cellIs" dxfId="750" priority="2" operator="notBetween">
      <formula>Q70</formula>
      <formula>R70</formula>
    </cfRule>
  </conditionalFormatting>
  <conditionalFormatting sqref="J12:J21">
    <cfRule type="expression" dxfId="749" priority="9">
      <formula>P12=1</formula>
    </cfRule>
  </conditionalFormatting>
  <conditionalFormatting sqref="J23:J31">
    <cfRule type="expression" dxfId="748" priority="1">
      <formula>P23=1</formula>
    </cfRule>
  </conditionalFormatting>
  <conditionalFormatting sqref="K37:K49">
    <cfRule type="expression" dxfId="747" priority="27">
      <formula>(K37&gt;R37)</formula>
    </cfRule>
  </conditionalFormatting>
  <conditionalFormatting sqref="K134">
    <cfRule type="cellIs" dxfId="746" priority="33" operator="notEqual">
      <formula>40</formula>
    </cfRule>
  </conditionalFormatting>
  <conditionalFormatting sqref="O85:P91">
    <cfRule type="expression" dxfId="745" priority="47">
      <formula>T82=1</formula>
    </cfRule>
  </conditionalFormatting>
  <conditionalFormatting sqref="O92:P92">
    <cfRule type="expression" dxfId="744" priority="54">
      <formula>T84=1</formula>
    </cfRule>
  </conditionalFormatting>
  <conditionalFormatting sqref="O93:P93">
    <cfRule type="expression" dxfId="743" priority="49">
      <formula>T84=1</formula>
    </cfRule>
  </conditionalFormatting>
  <conditionalFormatting sqref="O94:P94">
    <cfRule type="expression" dxfId="742" priority="48">
      <formula>T84=1</formula>
    </cfRule>
  </conditionalFormatting>
  <conditionalFormatting sqref="O95:P95">
    <cfRule type="expression" dxfId="741" priority="38">
      <formula>T84=1</formula>
    </cfRule>
  </conditionalFormatting>
  <conditionalFormatting sqref="O96:P96">
    <cfRule type="expression" dxfId="740" priority="21">
      <formula>T83=1</formula>
    </cfRule>
  </conditionalFormatting>
  <conditionalFormatting sqref="Q78:Q79">
    <cfRule type="expression" dxfId="739" priority="51">
      <formula>T68=1</formula>
    </cfRule>
  </conditionalFormatting>
  <conditionalFormatting sqref="Q80">
    <cfRule type="expression" dxfId="738" priority="43">
      <formula>S69=1</formula>
    </cfRule>
  </conditionalFormatting>
  <conditionalFormatting sqref="Q81">
    <cfRule type="expression" dxfId="737" priority="42">
      <formula>S69=1</formula>
    </cfRule>
  </conditionalFormatting>
  <conditionalFormatting sqref="Q37:R44">
    <cfRule type="expression" dxfId="736" priority="30">
      <formula>T34=1</formula>
    </cfRule>
  </conditionalFormatting>
  <conditionalFormatting sqref="Q45:R45">
    <cfRule type="expression" dxfId="735" priority="44">
      <formula>T37=1</formula>
    </cfRule>
  </conditionalFormatting>
  <conditionalFormatting sqref="Q46:R46">
    <cfRule type="expression" dxfId="734" priority="22">
      <formula>T37=1</formula>
    </cfRule>
  </conditionalFormatting>
  <conditionalFormatting sqref="Q47:R49">
    <cfRule type="expression" dxfId="733" priority="28">
      <formula>T37=1</formula>
    </cfRule>
  </conditionalFormatting>
  <conditionalFormatting sqref="Q54:R57">
    <cfRule type="expression" dxfId="732" priority="31">
      <formula>T51=1</formula>
    </cfRule>
  </conditionalFormatting>
  <conditionalFormatting sqref="Q58:R63">
    <cfRule type="expression" dxfId="731" priority="23">
      <formula>T52=1</formula>
    </cfRule>
  </conditionalFormatting>
  <conditionalFormatting sqref="Q64:R64">
    <cfRule type="expression" dxfId="730" priority="50">
      <formula>T53=1</formula>
    </cfRule>
  </conditionalFormatting>
  <conditionalFormatting sqref="Q70:R76">
    <cfRule type="expression" dxfId="729" priority="36">
      <formula>T66=1</formula>
    </cfRule>
  </conditionalFormatting>
  <conditionalFormatting sqref="Q77:R77">
    <cfRule type="expression" dxfId="728" priority="29">
      <formula>T68=1</formula>
    </cfRule>
  </conditionalFormatting>
  <conditionalFormatting sqref="Q101:R106 Q107:Q112 R109">
    <cfRule type="expression" dxfId="727" priority="39">
      <formula>T99=1</formula>
    </cfRule>
  </conditionalFormatting>
  <conditionalFormatting sqref="Q113:R113">
    <cfRule type="expression" dxfId="726" priority="34">
      <formula>#REF!=1</formula>
    </cfRule>
  </conditionalFormatting>
  <conditionalFormatting sqref="R78:R79">
    <cfRule type="expression" dxfId="725" priority="46">
      <formula>U67=1</formula>
    </cfRule>
  </conditionalFormatting>
  <conditionalFormatting sqref="R80">
    <cfRule type="expression" dxfId="724" priority="52">
      <formula>U67=1</formula>
    </cfRule>
  </conditionalFormatting>
  <conditionalFormatting sqref="R81">
    <cfRule type="expression" dxfId="723" priority="53">
      <formula>U69=1</formula>
    </cfRule>
  </conditionalFormatting>
  <conditionalFormatting sqref="R107:R108">
    <cfRule type="expression" dxfId="722" priority="55">
      <formula>U101=1</formula>
    </cfRule>
  </conditionalFormatting>
  <conditionalFormatting sqref="R110:R112">
    <cfRule type="expression" dxfId="721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564BC884-2EBF-4520-8A31-489CAE662846}">
          <x14:formula1>
            <xm:f>'Grade Pós'!$A:$A</xm:f>
          </x14:formula1>
          <xm:sqref>A23:A31</xm:sqref>
        </x14:dataValidation>
        <x14:dataValidation type="list" allowBlank="1" showInputMessage="1" showErrorMessage="1" xr:uid="{7314C145-3E51-4AF4-B9D4-2967807F4D4B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B6B57F5D-4732-47BB-8CB9-C91A435D7331}">
          <x14:formula1>
            <xm:f>Profs!$A:$A</xm:f>
          </x14:formula1>
          <xm:sqref>A5</xm:sqref>
        </x14:dataValidation>
        <x14:dataValidation type="list" allowBlank="1" showInputMessage="1" showErrorMessage="1" xr:uid="{D8FEEA0F-A2EF-48C8-A1DE-74FC8058E98D}">
          <x14:formula1>
            <xm:f>Dados!$A$108:$A$109</xm:f>
          </x14:formula1>
          <xm:sqref>D54:D64</xm:sqref>
        </x14:dataValidation>
        <x14:dataValidation type="list" allowBlank="1" showInputMessage="1" showErrorMessage="1" xr:uid="{4976D4B9-0DC3-4BE5-B4F7-70FD7DE8CBBF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442E9B67-D770-4CAF-A9F2-93FB12CFEA00}">
          <x14:formula1>
            <xm:f>Dados!$A$44:$A$78</xm:f>
          </x14:formula1>
          <xm:sqref>A101:A112</xm:sqref>
        </x14:dataValidation>
        <x14:dataValidation type="list" allowBlank="1" showInputMessage="1" showErrorMessage="1" xr:uid="{80BAB1C8-4D7E-4618-83CC-6AEA6E1E9425}">
          <x14:formula1>
            <xm:f>Dados!$A$95:$A$99</xm:f>
          </x14:formula1>
          <xm:sqref>D68</xm:sqref>
        </x14:dataValidation>
        <x14:dataValidation type="list" allowBlank="1" showInputMessage="1" showErrorMessage="1" xr:uid="{D9A1125B-340F-482D-BA6C-8D8F7A18450D}">
          <x14:formula1>
            <xm:f>Dados!$A$85:$A$90</xm:f>
          </x14:formula1>
          <xm:sqref>A37:A49</xm:sqref>
        </x14:dataValidation>
        <x14:dataValidation type="list" allowBlank="1" showInputMessage="1" showErrorMessage="1" xr:uid="{36F6F5AD-3CCC-4E22-961A-61F2CA05C8A2}">
          <x14:formula1>
            <xm:f>Dados!$A$38:$A$39</xm:f>
          </x14:formula1>
          <xm:sqref>H35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442C-7DD9-462A-9A0A-FEB29D9A0C01}">
  <sheetPr>
    <pageSetUpPr fitToPage="1"/>
  </sheetPr>
  <dimension ref="A1:W148"/>
  <sheetViews>
    <sheetView showGridLines="0" zoomScale="62" zoomScaleNormal="62" workbookViewId="0">
      <selection activeCell="J14" sqref="J14:K14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405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ASSOCIADO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709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3ª</v>
      </c>
      <c r="G12" s="184"/>
      <c r="H12" s="73">
        <v>4</v>
      </c>
      <c r="I12" s="73">
        <v>0</v>
      </c>
      <c r="J12" s="180">
        <v>8</v>
      </c>
      <c r="K12" s="181"/>
      <c r="L12" s="2">
        <f t="shared" ref="L12:L21" si="0">SUM(H12:I12)</f>
        <v>4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1</v>
      </c>
      <c r="P12" s="3">
        <f>SUM(N12:O12)</f>
        <v>1</v>
      </c>
      <c r="Q12" s="52">
        <f t="shared" ref="Q12:Q21" si="4">L12*0.5</f>
        <v>2</v>
      </c>
      <c r="R12" s="54">
        <f t="shared" ref="R12:R21" si="5">IFERROR(_xlfn.IFS($M$32=1,L12,$M$32=2,L12,$M$32=3,(L12*1.3),$M$32&gt;3,(L12*1.5)),0)</f>
        <v>5.2</v>
      </c>
    </row>
    <row r="13" spans="1:22" ht="15" customHeight="1" x14ac:dyDescent="0.25">
      <c r="A13" s="180" t="s">
        <v>218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Eletiva</v>
      </c>
      <c r="G13" s="184"/>
      <c r="H13" s="73">
        <v>4</v>
      </c>
      <c r="I13" s="73">
        <v>0</v>
      </c>
      <c r="J13" s="185">
        <v>5</v>
      </c>
      <c r="K13" s="180"/>
      <c r="L13" s="2">
        <f t="shared" si="0"/>
        <v>4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2</v>
      </c>
      <c r="R13" s="54">
        <f t="shared" si="5"/>
        <v>5.2</v>
      </c>
    </row>
    <row r="14" spans="1:22" ht="15" customHeight="1" x14ac:dyDescent="0.25">
      <c r="A14" s="180" t="s">
        <v>710</v>
      </c>
      <c r="B14" s="181"/>
      <c r="C14" s="182"/>
      <c r="D14" s="183" t="str">
        <f>IFERROR(VLOOKUP(A14,TGradeCurricular[],2,0),"")</f>
        <v>Engenharia Florestal</v>
      </c>
      <c r="E14" s="184"/>
      <c r="F14" s="183" t="str">
        <f>IFERROR(VLOOKUP(A14,TGradeCurricular[],3,0),"")</f>
        <v>3ª</v>
      </c>
      <c r="G14" s="184"/>
      <c r="H14" s="73">
        <v>4</v>
      </c>
      <c r="I14" s="73">
        <v>0</v>
      </c>
      <c r="J14" s="185">
        <v>5</v>
      </c>
      <c r="K14" s="180"/>
      <c r="L14" s="2">
        <f t="shared" si="0"/>
        <v>4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2</v>
      </c>
      <c r="R14" s="54">
        <f t="shared" si="5"/>
        <v>5.2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IFERROR(VLOOKUP(Celio!$A23,'Grade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IFERROR(VLOOKUP(Celio!$A24,'Grade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IFERROR(VLOOKUP(Celio!$A25,'Grade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IFERROR(VLOOKUP(Celio!$A26,'Grade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IFERROR(VLOOKUP(Celio!$A27,'Grade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IFERROR(VLOOKUP(Celio!$A28,'Grade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IFERROR(VLOOKUP(Celio!$A29,'Grade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IFERROR(VLOOKUP(Celio!$A30,'Grade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IFERROR(VLOOKUP(Celio!$A31,'Grade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18</v>
      </c>
      <c r="K32" s="99">
        <f>SUM(J12:J31)</f>
        <v>18</v>
      </c>
      <c r="L32" s="4">
        <f>SUM(L12:L31)</f>
        <v>12</v>
      </c>
      <c r="M32" s="5">
        <f>SUM(M12:M31)</f>
        <v>3</v>
      </c>
      <c r="N32" s="96">
        <f>IF(K32&lt;Q32,1,0)</f>
        <v>0</v>
      </c>
      <c r="O32" s="96">
        <f>IF(K32&gt;R32,1,0)</f>
        <v>1</v>
      </c>
      <c r="P32" s="96">
        <f>SUM(N32:O32)</f>
        <v>1</v>
      </c>
      <c r="Q32" s="100">
        <f>L32*0.5</f>
        <v>6</v>
      </c>
      <c r="R32" s="101">
        <f t="shared" si="9"/>
        <v>15.600000000000001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IFERROR(VLOOKUP(Celio!$D54,Tabela20[],2,0),0)</f>
        <v>0</v>
      </c>
      <c r="R54" s="54">
        <f>IFERROR(VLOOKUP(Celio!$D54,Tabela20[],3,0),0)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IFERROR(VLOOKUP(Celio!$D55,Tabela20[],2,0),0)</f>
        <v>0</v>
      </c>
      <c r="R55" s="54">
        <f>IFERROR(VLOOKUP(Celio!$D55,Tabela20[],3,0),0)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IFERROR(VLOOKUP(Celio!$D56,Tabela20[],2,0),0)</f>
        <v>0</v>
      </c>
      <c r="R56" s="54">
        <f>IFERROR(VLOOKUP(Celio!$D56,Tabela20[],3,0),0)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IFERROR(VLOOKUP(Celio!$D57,Tabela20[],2,0),0)</f>
        <v>0</v>
      </c>
      <c r="R57" s="54">
        <f>IFERROR(VLOOKUP(Celio!$D57,Tabela20[],3,0),0)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IFERROR(VLOOKUP(Celio!$D58,Tabela20[],2,0),0)</f>
        <v>0</v>
      </c>
      <c r="R58" s="54">
        <f>IFERROR(VLOOKUP(Celio!$D58,Tabela20[],3,0),0)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IFERROR(VLOOKUP(Celio!$D59,Tabela20[],2,0),0)</f>
        <v>0</v>
      </c>
      <c r="R59" s="54">
        <f>IFERROR(VLOOKUP(Celio!$D59,Tabela20[],3,0),0)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IFERROR(VLOOKUP(Celio!$D60,Tabela20[],2,0),0)</f>
        <v>0</v>
      </c>
      <c r="R60" s="54">
        <f>IFERROR(VLOOKUP(Celio!$D60,Tabela20[],3,0),0)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IFERROR(VLOOKUP(Celio!$D61,Tabela20[],2,0),0)</f>
        <v>0</v>
      </c>
      <c r="R61" s="54">
        <f>IFERROR(VLOOKUP(Celio!$D61,Tabela20[],3,0),0)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IFERROR(VLOOKUP(Celio!$D62,Tabela20[],2,0),0)</f>
        <v>0</v>
      </c>
      <c r="R62" s="54">
        <f>IFERROR(VLOOKUP(Celio!$D62,Tabela20[],3,0),0)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IFERROR(VLOOKUP(Celio!$D63,Tabela20[],2,0),0)</f>
        <v>0</v>
      </c>
      <c r="R63" s="54">
        <f>IFERROR(VLOOKUP(Celio!$D63,Tabela20[],3,0),0)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IFERROR(VLOOKUP(Celio!$D64,Tabela20[],2,0),0)</f>
        <v>0</v>
      </c>
      <c r="R64" s="114">
        <f>IFERROR(VLOOKUP(Celio!$D64,Tabela20[],3,0),0)</f>
        <v>0</v>
      </c>
    </row>
    <row r="65" spans="1:23" s="89" customFormat="1" hidden="1" x14ac:dyDescent="0.25">
      <c r="A65" s="89" t="s">
        <v>756</v>
      </c>
      <c r="F65" s="124">
        <f>SUM(Celio!$F$54:$F$64)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2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IFERROR(VLOOKUP(Celio!$D70,Tabela11[],2),0)</f>
        <v>0</v>
      </c>
      <c r="R70" s="54">
        <f>IFERROR(VLOOKUP(Celio!$D70,Tabela11[],3),0)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2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IFERROR(VLOOKUP(Celio!$D71,Tabela11[],2),0)</f>
        <v>0</v>
      </c>
      <c r="R71" s="54">
        <f>IFERROR(VLOOKUP(Celio!$D71,Tabela11[],3),0)</f>
        <v>6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IFERROR(VLOOKUP(Celio!$D72,Tabela11[],2),0)</f>
        <v>0</v>
      </c>
      <c r="R72" s="54">
        <f>IFERROR(VLOOKUP(Celio!$D72,Tabela11[],3),0)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IFERROR(VLOOKUP(Celio!$D73,Tabela11[],2),0)</f>
        <v>0</v>
      </c>
      <c r="R73" s="54">
        <f>IFERROR(VLOOKUP(Celio!$D73,Tabela11[],3),0)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IFERROR(VLOOKUP(Celio!$D74,Tabela11[],2),0)</f>
        <v>0</v>
      </c>
      <c r="R74" s="54">
        <f>IFERROR(VLOOKUP(Celio!$D74,Tabela11[],3),0)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IFERROR(VLOOKUP(Celio!$D75,Tabela11[],2),0)</f>
        <v>0</v>
      </c>
      <c r="R75" s="54">
        <f>IFERROR(VLOOKUP(Celio!$D75,Tabela11[],3),0)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IFERROR(VLOOKUP(Celio!$D76,Tabela11[],2),0)</f>
        <v>0</v>
      </c>
      <c r="R76" s="54">
        <f>IFERROR(VLOOKUP(Celio!$D76,Tabela11[],3),0)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IFERROR(VLOOKUP(Celio!$D77,Tabela11[],2),0)</f>
        <v>0</v>
      </c>
      <c r="R77" s="54">
        <f>IFERROR(VLOOKUP(Celio!$D77,Tabela11[],3),0)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IFERROR(VLOOKUP(Celio!$D78,Tabela11[],2),0)</f>
        <v>0</v>
      </c>
      <c r="R78" s="54">
        <f>IFERROR(VLOOKUP(Celio!$D78,Tabela11[],3),0)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IFERROR(VLOOKUP(Celio!$D79,Tabela11[],2),0)</f>
        <v>0</v>
      </c>
      <c r="R79" s="54">
        <f>IFERROR(VLOOKUP(Celio!$D79,Tabela11[],3),0)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IFERROR(VLOOKUP(Celio!$D80,Tabela11[],2),0)</f>
        <v>0</v>
      </c>
      <c r="R80" s="114">
        <f>IFERROR(VLOOKUP(Celio!$D80,Tabela11[],3),0)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4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IFERROR(VLOOKUP(Celio!$D85,Tabela21[],2,0),0)</f>
        <v>0</v>
      </c>
      <c r="P85" s="54">
        <f>IFERROR(VLOOKUP(Celio!$D85,Tabela21[],3,0),0)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IFERROR(VLOOKUP(Celio!$D86,Tabela21[],2,0),0)</f>
        <v>0</v>
      </c>
      <c r="P86" s="54">
        <f>IFERROR(VLOOKUP(Celio!$D86,Tabela21[],3,0),0)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IFERROR(VLOOKUP(Celio!$D87,Tabela21[],2,0),0)</f>
        <v>0</v>
      </c>
      <c r="P87" s="54">
        <f>IFERROR(VLOOKUP(Celio!$D87,Tabela21[],3,0),0)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IFERROR(VLOOKUP(Celio!$D88,Tabela21[],2,0),0)</f>
        <v>0</v>
      </c>
      <c r="P88" s="54">
        <f>IFERROR(VLOOKUP(Celio!$D88,Tabela21[],3,0),0)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IFERROR(VLOOKUP(Celio!$D89,Tabela21[],2,0),0)</f>
        <v>0</v>
      </c>
      <c r="P89" s="54">
        <f>IFERROR(VLOOKUP(Celio!$D89,Tabela21[],3,0),0)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IFERROR(VLOOKUP(Celio!$D90,Tabela21[],2,0),0)</f>
        <v>0</v>
      </c>
      <c r="P90" s="54">
        <f>IFERROR(VLOOKUP(Celio!$D90,Tabela21[],3,0),0)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IFERROR(VLOOKUP(Celio!$D91,Tabela21[],2,0),0)</f>
        <v>0</v>
      </c>
      <c r="P91" s="54">
        <f>IFERROR(VLOOKUP(Celio!$D91,Tabela21[],3,0),0)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IFERROR(VLOOKUP(Celio!$D92,Tabela21[],2,0),0)</f>
        <v>0</v>
      </c>
      <c r="P92" s="54">
        <f>IFERROR(VLOOKUP(Celio!$D92,Tabela21[],3,0),0)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IFERROR(VLOOKUP(Celio!$D93,Tabela21[],2,0),0)</f>
        <v>0</v>
      </c>
      <c r="P93" s="54">
        <f>IFERROR(VLOOKUP(Celio!$D93,Tabela21[],3,0),0)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IFERROR(VLOOKUP(Celio!$D94,Tabela21[],2,0),0)</f>
        <v>0</v>
      </c>
      <c r="P94" s="54">
        <f>IFERROR(VLOOKUP(Celio!$D94,Tabela21[],3,0),0)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IFERROR(VLOOKUP(Celio!$D95,Tabela21[],2,0),0)</f>
        <v>0</v>
      </c>
      <c r="P95" s="54">
        <f>IFERROR(VLOOKUP(Celio!$D95,Tabela21[],3,0),0)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IFERROR(VLOOKUP(Celio!$D96,Tabela21[],2,0),0)</f>
        <v>0</v>
      </c>
      <c r="P96" s="54">
        <f>IFERROR(VLOOKUP(Celio!$D96,Tabela21[],3,0),0)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IFERROR(VLOOKUP(Celio!$D97,Tabela21[],2,0),0)</f>
        <v>0</v>
      </c>
      <c r="P97" s="136">
        <f>IFERROR(VLOOKUP(Celio!$D97,Tabela21[],3,0),0)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IFERROR(VLOOKUP(Celio!$A101,TFunçõesAdm[],3,0),40)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 t="s">
        <v>807</v>
      </c>
      <c r="B102" s="181"/>
      <c r="C102" s="182"/>
      <c r="D102" s="180"/>
      <c r="E102" s="182"/>
      <c r="F102" s="73">
        <v>1</v>
      </c>
      <c r="G102" s="180"/>
      <c r="H102" s="182"/>
      <c r="I102" s="218"/>
      <c r="J102" s="219"/>
      <c r="K102" s="75"/>
      <c r="L102" s="2">
        <f>IFERROR(VLOOKUP(Celio!$A102,TFunçõesAdm[],3,0),40)</f>
        <v>35</v>
      </c>
      <c r="M102" s="3"/>
      <c r="N102" s="95"/>
      <c r="O102" s="95"/>
      <c r="P102" s="95"/>
      <c r="Q102" s="52">
        <v>0</v>
      </c>
      <c r="R102" s="54">
        <f>IFERROR(VLOOKUP(A102,TFunçõesAdm[],2,FALSE),0)</f>
        <v>5</v>
      </c>
    </row>
    <row r="103" spans="1:22" ht="24" customHeight="1" x14ac:dyDescent="0.25">
      <c r="A103" s="180" t="s">
        <v>816</v>
      </c>
      <c r="B103" s="181"/>
      <c r="C103" s="182"/>
      <c r="D103" s="180"/>
      <c r="E103" s="182"/>
      <c r="F103" s="73">
        <v>1</v>
      </c>
      <c r="G103" s="180"/>
      <c r="H103" s="182"/>
      <c r="I103" s="218"/>
      <c r="J103" s="219"/>
      <c r="K103" s="75"/>
      <c r="L103" s="2">
        <f>IFERROR(VLOOKUP(Celio!$A103,TFunçõesAdm[],3,0),40)</f>
        <v>37</v>
      </c>
      <c r="M103" s="3"/>
      <c r="N103" s="95"/>
      <c r="O103" s="95"/>
      <c r="P103" s="95"/>
      <c r="Q103" s="52">
        <v>0</v>
      </c>
      <c r="R103" s="54">
        <f>IFERROR(VLOOKUP(A103,TFunçõesAdm[],2,FALSE),0)</f>
        <v>3</v>
      </c>
    </row>
    <row r="104" spans="1:22" x14ac:dyDescent="0.25">
      <c r="A104" s="180" t="s">
        <v>809</v>
      </c>
      <c r="B104" s="181"/>
      <c r="C104" s="182"/>
      <c r="D104" s="180"/>
      <c r="E104" s="182"/>
      <c r="F104" s="73">
        <v>2</v>
      </c>
      <c r="G104" s="180"/>
      <c r="H104" s="182"/>
      <c r="I104" s="218"/>
      <c r="J104" s="219"/>
      <c r="K104" s="75"/>
      <c r="L104" s="2">
        <f>IFERROR(VLOOKUP(Celio!$A104,TFunçõesAdm[],3,0),40)</f>
        <v>38</v>
      </c>
      <c r="M104" s="3"/>
      <c r="N104" s="95"/>
      <c r="O104" s="95"/>
      <c r="P104" s="95"/>
      <c r="Q104" s="52">
        <v>0</v>
      </c>
      <c r="R104" s="54">
        <f>IFERROR(VLOOKUP(A104,TFunçõesAdm[],2,FALSE),0)</f>
        <v>2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IFERROR(VLOOKUP(Celio!$A105,TFunçõesAdm[],3,0),40)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IFERROR(VLOOKUP(Celio!$A106,TFunçõesAdm[],3,0),40)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IFERROR(VLOOKUP(Celio!$A107,TFunçõesAdm[],3,0),40)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IFERROR(VLOOKUP(Celio!$A108,TFunçõesAdm[],3,0),40)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IFERROR(VLOOKUP(Celio!$A109,TFunçõesAdm[],3,0),40)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IFERROR(VLOOKUP(Celio!$A110,TFunçõesAdm[],3,0),40)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IFERROR(VLOOKUP(Celio!$A111,TFunçõesAdm[],3,0),40)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IFERROR(VLOOKUP(Celio!$A112,TFunçõesAdm[],3,0),40)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9</v>
      </c>
      <c r="G113" s="124"/>
      <c r="H113" s="89"/>
      <c r="I113" s="124"/>
      <c r="J113" s="124"/>
      <c r="K113" s="89"/>
      <c r="L113" s="104">
        <f>MIN(Celio!$L$101:$L$112)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SUM(Celio!$F$123:$F$124)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12</v>
      </c>
      <c r="B134" s="143">
        <f>K32</f>
        <v>18</v>
      </c>
      <c r="C134" s="143">
        <f>K50</f>
        <v>0</v>
      </c>
      <c r="D134" s="143">
        <f>F65</f>
        <v>0</v>
      </c>
      <c r="E134" s="143">
        <f>F81</f>
        <v>4</v>
      </c>
      <c r="F134" s="143">
        <f>F97</f>
        <v>0</v>
      </c>
      <c r="G134" s="143">
        <f>F113</f>
        <v>9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43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Célio Orli Cardoso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12</v>
      </c>
      <c r="G148" s="71">
        <f>SUM(H23:I31)</f>
        <v>0</v>
      </c>
      <c r="H148" s="71">
        <f>B134</f>
        <v>18</v>
      </c>
      <c r="I148" s="71">
        <f>C134</f>
        <v>0</v>
      </c>
      <c r="J148" s="71">
        <f>E134</f>
        <v>4</v>
      </c>
      <c r="K148" s="71">
        <f>F134</f>
        <v>0</v>
      </c>
      <c r="Q148" s="71">
        <v>0</v>
      </c>
      <c r="R148" s="71">
        <f>D134</f>
        <v>0</v>
      </c>
      <c r="S148" s="71">
        <f>G134</f>
        <v>9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43</v>
      </c>
    </row>
  </sheetData>
  <sheetProtection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720" priority="26">
      <formula>se+$A$134&lt;$L$35</formula>
    </cfRule>
    <cfRule type="cellIs" dxfId="719" priority="25" operator="lessThan">
      <formula>M35</formula>
    </cfRule>
  </conditionalFormatting>
  <conditionalFormatting sqref="B134">
    <cfRule type="expression" dxfId="718" priority="35">
      <formula>P32=1</formula>
    </cfRule>
  </conditionalFormatting>
  <conditionalFormatting sqref="E134">
    <cfRule type="expression" dxfId="717" priority="20">
      <formula>($E$134&gt;$L$68)</formula>
    </cfRule>
  </conditionalFormatting>
  <conditionalFormatting sqref="F54:F64">
    <cfRule type="cellIs" dxfId="716" priority="18" operator="greaterThan">
      <formula>R54</formula>
    </cfRule>
  </conditionalFormatting>
  <conditionalFormatting sqref="F101:F112">
    <cfRule type="cellIs" dxfId="715" priority="3" operator="notBetween">
      <formula>Q101</formula>
      <formula>R101</formula>
    </cfRule>
  </conditionalFormatting>
  <conditionalFormatting sqref="F70:G80">
    <cfRule type="cellIs" dxfId="714" priority="2" operator="notBetween">
      <formula>Q70</formula>
      <formula>R70</formula>
    </cfRule>
  </conditionalFormatting>
  <conditionalFormatting sqref="J12:J21">
    <cfRule type="expression" dxfId="713" priority="9">
      <formula>P12=1</formula>
    </cfRule>
  </conditionalFormatting>
  <conditionalFormatting sqref="J23:J31">
    <cfRule type="expression" dxfId="712" priority="1">
      <formula>P23=1</formula>
    </cfRule>
  </conditionalFormatting>
  <conditionalFormatting sqref="K37:K49">
    <cfRule type="expression" dxfId="711" priority="27">
      <formula>(K37&gt;R37)</formula>
    </cfRule>
  </conditionalFormatting>
  <conditionalFormatting sqref="K134">
    <cfRule type="cellIs" dxfId="710" priority="33" operator="notEqual">
      <formula>40</formula>
    </cfRule>
  </conditionalFormatting>
  <conditionalFormatting sqref="O85:P91">
    <cfRule type="expression" dxfId="709" priority="47">
      <formula>T82=1</formula>
    </cfRule>
  </conditionalFormatting>
  <conditionalFormatting sqref="O92:P92">
    <cfRule type="expression" dxfId="708" priority="54">
      <formula>T84=1</formula>
    </cfRule>
  </conditionalFormatting>
  <conditionalFormatting sqref="O93:P93">
    <cfRule type="expression" dxfId="707" priority="49">
      <formula>T84=1</formula>
    </cfRule>
  </conditionalFormatting>
  <conditionalFormatting sqref="O94:P94">
    <cfRule type="expression" dxfId="706" priority="48">
      <formula>T84=1</formula>
    </cfRule>
  </conditionalFormatting>
  <conditionalFormatting sqref="O95:P95">
    <cfRule type="expression" dxfId="705" priority="38">
      <formula>T84=1</formula>
    </cfRule>
  </conditionalFormatting>
  <conditionalFormatting sqref="O96:P96">
    <cfRule type="expression" dxfId="704" priority="21">
      <formula>T83=1</formula>
    </cfRule>
  </conditionalFormatting>
  <conditionalFormatting sqref="Q78:Q79">
    <cfRule type="expression" dxfId="703" priority="51">
      <formula>T68=1</formula>
    </cfRule>
  </conditionalFormatting>
  <conditionalFormatting sqref="Q80">
    <cfRule type="expression" dxfId="702" priority="43">
      <formula>S69=1</formula>
    </cfRule>
  </conditionalFormatting>
  <conditionalFormatting sqref="Q81">
    <cfRule type="expression" dxfId="701" priority="42">
      <formula>S69=1</formula>
    </cfRule>
  </conditionalFormatting>
  <conditionalFormatting sqref="Q37:R44">
    <cfRule type="expression" dxfId="700" priority="30">
      <formula>T34=1</formula>
    </cfRule>
  </conditionalFormatting>
  <conditionalFormatting sqref="Q45:R45">
    <cfRule type="expression" dxfId="699" priority="44">
      <formula>T37=1</formula>
    </cfRule>
  </conditionalFormatting>
  <conditionalFormatting sqref="Q46:R46">
    <cfRule type="expression" dxfId="698" priority="22">
      <formula>T37=1</formula>
    </cfRule>
  </conditionalFormatting>
  <conditionalFormatting sqref="Q47:R49">
    <cfRule type="expression" dxfId="697" priority="28">
      <formula>T37=1</formula>
    </cfRule>
  </conditionalFormatting>
  <conditionalFormatting sqref="Q54:R57">
    <cfRule type="expression" dxfId="696" priority="31">
      <formula>T51=1</formula>
    </cfRule>
  </conditionalFormatting>
  <conditionalFormatting sqref="Q58:R63">
    <cfRule type="expression" dxfId="695" priority="23">
      <formula>T52=1</formula>
    </cfRule>
  </conditionalFormatting>
  <conditionalFormatting sqref="Q64:R64">
    <cfRule type="expression" dxfId="694" priority="50">
      <formula>T53=1</formula>
    </cfRule>
  </conditionalFormatting>
  <conditionalFormatting sqref="Q70:R76">
    <cfRule type="expression" dxfId="693" priority="36">
      <formula>T66=1</formula>
    </cfRule>
  </conditionalFormatting>
  <conditionalFormatting sqref="Q77:R77">
    <cfRule type="expression" dxfId="692" priority="29">
      <formula>T68=1</formula>
    </cfRule>
  </conditionalFormatting>
  <conditionalFormatting sqref="Q101:R106 Q107:Q112 R109">
    <cfRule type="expression" dxfId="691" priority="39">
      <formula>T99=1</formula>
    </cfRule>
  </conditionalFormatting>
  <conditionalFormatting sqref="Q113:R113">
    <cfRule type="expression" dxfId="690" priority="34">
      <formula>#REF!=1</formula>
    </cfRule>
  </conditionalFormatting>
  <conditionalFormatting sqref="R78:R79">
    <cfRule type="expression" dxfId="689" priority="46">
      <formula>U67=1</formula>
    </cfRule>
  </conditionalFormatting>
  <conditionalFormatting sqref="R80">
    <cfRule type="expression" dxfId="688" priority="52">
      <formula>U67=1</formula>
    </cfRule>
  </conditionalFormatting>
  <conditionalFormatting sqref="R81">
    <cfRule type="expression" dxfId="687" priority="53">
      <formula>U69=1</formula>
    </cfRule>
  </conditionalFormatting>
  <conditionalFormatting sqref="R107:R108">
    <cfRule type="expression" dxfId="686" priority="55">
      <formula>U101=1</formula>
    </cfRule>
  </conditionalFormatting>
  <conditionalFormatting sqref="R110:R112">
    <cfRule type="expression" dxfId="685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EED7B16-407E-4D6E-9B58-EAB0B0900655}">
          <x14:formula1>
            <xm:f>Dados!$A$38:$A$39</xm:f>
          </x14:formula1>
          <xm:sqref>H35</xm:sqref>
        </x14:dataValidation>
        <x14:dataValidation type="list" allowBlank="1" showInputMessage="1" showErrorMessage="1" xr:uid="{E01381BF-C918-4ECD-8B51-E4A67DCA569B}">
          <x14:formula1>
            <xm:f>Dados!$A$85:$A$90</xm:f>
          </x14:formula1>
          <xm:sqref>A37:A49</xm:sqref>
        </x14:dataValidation>
        <x14:dataValidation type="list" allowBlank="1" showInputMessage="1" showErrorMessage="1" xr:uid="{0A46B91A-AF44-4163-A8D6-4C56C49CDFEB}">
          <x14:formula1>
            <xm:f>Dados!$A$95:$A$99</xm:f>
          </x14:formula1>
          <xm:sqref>D68</xm:sqref>
        </x14:dataValidation>
        <x14:dataValidation type="list" allowBlank="1" showInputMessage="1" showErrorMessage="1" xr:uid="{BF4AB9C2-5677-4B53-A779-A9712ABD8D75}">
          <x14:formula1>
            <xm:f>Dados!$A$44:$A$78</xm:f>
          </x14:formula1>
          <xm:sqref>A101:A112</xm:sqref>
        </x14:dataValidation>
        <x14:dataValidation type="list" allowBlank="1" showInputMessage="1" showErrorMessage="1" xr:uid="{A1A2512A-4D74-4CF4-B468-6794E03EBE00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45377A09-701B-4128-AD1B-503183D2473A}">
          <x14:formula1>
            <xm:f>Dados!$A$108:$A$109</xm:f>
          </x14:formula1>
          <xm:sqref>D54:D64</xm:sqref>
        </x14:dataValidation>
        <x14:dataValidation type="list" allowBlank="1" showInputMessage="1" showErrorMessage="1" xr:uid="{4BF5EBE5-A889-4A55-9F11-E23BCED3A15F}">
          <x14:formula1>
            <xm:f>Profs!$A:$A</xm:f>
          </x14:formula1>
          <xm:sqref>A5</xm:sqref>
        </x14:dataValidation>
        <x14:dataValidation type="list" allowBlank="1" showInputMessage="1" showErrorMessage="1" xr:uid="{A45F17D5-FAFC-41AD-A9F8-94A41CC589B4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5B182C1A-B005-45EA-B7C4-210C9E1144CB}">
          <x14:formula1>
            <xm:f>'Grade Pós'!$A:$A</xm:f>
          </x14:formula1>
          <xm:sqref>A23:A31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43A1-9173-42D6-8CBF-C66F5D681071}">
  <sheetPr>
    <pageSetUpPr fitToPage="1"/>
  </sheetPr>
  <dimension ref="A1:W148"/>
  <sheetViews>
    <sheetView showGridLines="0" zoomScale="69" zoomScaleNormal="69" workbookViewId="0">
      <selection activeCell="J25" sqref="J25:K2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1296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ASSOCIADO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217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9ª</v>
      </c>
      <c r="G12" s="184"/>
      <c r="H12" s="73">
        <v>2</v>
      </c>
      <c r="I12" s="73">
        <v>3</v>
      </c>
      <c r="J12" s="180">
        <v>5</v>
      </c>
      <c r="K12" s="181"/>
      <c r="L12" s="2">
        <f t="shared" ref="L12:L21" si="0">SUM(H12:I12)</f>
        <v>5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2.5</v>
      </c>
      <c r="R12" s="54">
        <f t="shared" ref="R12:R21" si="5">IFERROR(_xlfn.IFS($M$32=1,L12,$M$32=2,L12,$M$32=3,(L12*1.3),$M$32&gt;3,(L12*1.5)),0)</f>
        <v>6.5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IFERROR(VLOOKUP(Cileide!$A23,'Grade Pós'!A:B,2,0),"")</f>
        <v>PROGRAMA</v>
      </c>
      <c r="E23" s="200"/>
      <c r="F23" s="200"/>
      <c r="G23" s="184"/>
      <c r="H23" s="180">
        <v>2</v>
      </c>
      <c r="I23" s="182"/>
      <c r="J23" s="185">
        <v>2</v>
      </c>
      <c r="K23" s="185"/>
      <c r="L23" s="2">
        <f>SUM(H23:I23)</f>
        <v>2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1</v>
      </c>
      <c r="R23" s="54">
        <f t="shared" ref="R23:R32" si="9">IFERROR(_xlfn.IFS($M$32=1,L23,$M$32=2,L23,$M$32=3,(L23*1.3),$M$32&gt;3,(L23*1.5)),0)</f>
        <v>2.6</v>
      </c>
    </row>
    <row r="24" spans="1:22" ht="26.25" customHeight="1" x14ac:dyDescent="0.25">
      <c r="A24" s="180" t="s">
        <v>831</v>
      </c>
      <c r="B24" s="181"/>
      <c r="C24" s="182"/>
      <c r="D24" s="183" t="str">
        <f>IFERROR(VLOOKUP(Cileide!$A24,'Grade Pós'!A:B,2,0),"")</f>
        <v>PROGRAMA</v>
      </c>
      <c r="E24" s="200"/>
      <c r="F24" s="200"/>
      <c r="G24" s="184"/>
      <c r="H24" s="180">
        <v>4</v>
      </c>
      <c r="I24" s="182"/>
      <c r="J24" s="180">
        <v>4</v>
      </c>
      <c r="K24" s="182"/>
      <c r="L24" s="2">
        <f>SUM(H24:I24)</f>
        <v>4</v>
      </c>
      <c r="M24" s="3">
        <f>IF(A24&lt;&gt;0,1,0)</f>
        <v>1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2</v>
      </c>
      <c r="R24" s="54">
        <f t="shared" si="9"/>
        <v>5.2</v>
      </c>
    </row>
    <row r="25" spans="1:22" x14ac:dyDescent="0.25">
      <c r="A25" s="180"/>
      <c r="B25" s="181"/>
      <c r="C25" s="182"/>
      <c r="D25" s="183" t="str">
        <f>IFERROR(VLOOKUP(Cileide!$A25,'Grade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IFERROR(VLOOKUP(Cileide!$A26,'Grade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IFERROR(VLOOKUP(Cileide!$A27,'Grade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IFERROR(VLOOKUP(Cileide!$A28,'Grade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IFERROR(VLOOKUP(Cileide!$A29,'Grade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IFERROR(VLOOKUP(Cileide!$A30,'Grade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IFERROR(VLOOKUP(Cileide!$A31,'Grade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5</v>
      </c>
      <c r="K32" s="99">
        <f>SUM(J12:J31)</f>
        <v>11</v>
      </c>
      <c r="L32" s="4">
        <f>SUM(L12:L31)</f>
        <v>11</v>
      </c>
      <c r="M32" s="5">
        <f>SUM(M12:M31)</f>
        <v>3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5.5</v>
      </c>
      <c r="R32" s="101">
        <f t="shared" si="9"/>
        <v>14.3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113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3</v>
      </c>
    </row>
    <row r="38" spans="1:22" x14ac:dyDescent="0.25">
      <c r="A38" s="180" t="s">
        <v>113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3</v>
      </c>
    </row>
    <row r="39" spans="1:22" x14ac:dyDescent="0.25">
      <c r="A39" s="180" t="s">
        <v>115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2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2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6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8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IFERROR(VLOOKUP(Cileide!$D54,Tabela20[],2,0),0)</f>
        <v>0</v>
      </c>
      <c r="R54" s="54">
        <f>IFERROR(VLOOKUP(Cileide!$D54,Tabela20[],3,0),0)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IFERROR(VLOOKUP(Cileide!$D55,Tabela20[],2,0),0)</f>
        <v>0</v>
      </c>
      <c r="R55" s="54">
        <f>IFERROR(VLOOKUP(Cileide!$D55,Tabela20[],3,0),0)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IFERROR(VLOOKUP(Cileide!$D56,Tabela20[],2,0),0)</f>
        <v>0</v>
      </c>
      <c r="R56" s="54">
        <f>IFERROR(VLOOKUP(Cileide!$D56,Tabela20[],3,0),0)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IFERROR(VLOOKUP(Cileide!$D57,Tabela20[],2,0),0)</f>
        <v>0</v>
      </c>
      <c r="R57" s="54">
        <f>IFERROR(VLOOKUP(Cileide!$D57,Tabela20[],3,0),0)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IFERROR(VLOOKUP(Cileide!$D58,Tabela20[],2,0),0)</f>
        <v>0</v>
      </c>
      <c r="R58" s="54">
        <f>IFERROR(VLOOKUP(Cileide!$D58,Tabela20[],3,0),0)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IFERROR(VLOOKUP(Cileide!$D59,Tabela20[],2,0),0)</f>
        <v>0</v>
      </c>
      <c r="R59" s="54">
        <f>IFERROR(VLOOKUP(Cileide!$D59,Tabela20[],3,0),0)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IFERROR(VLOOKUP(Cileide!$D60,Tabela20[],2,0),0)</f>
        <v>0</v>
      </c>
      <c r="R60" s="54">
        <f>IFERROR(VLOOKUP(Cileide!$D60,Tabela20[],3,0),0)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IFERROR(VLOOKUP(Cileide!$D61,Tabela20[],2,0),0)</f>
        <v>0</v>
      </c>
      <c r="R61" s="54">
        <f>IFERROR(VLOOKUP(Cileide!$D61,Tabela20[],3,0),0)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IFERROR(VLOOKUP(Cileide!$D62,Tabela20[],2,0),0)</f>
        <v>0</v>
      </c>
      <c r="R62" s="54">
        <f>IFERROR(VLOOKUP(Cileide!$D62,Tabela20[],3,0),0)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IFERROR(VLOOKUP(Cileide!$D63,Tabela20[],2,0),0)</f>
        <v>0</v>
      </c>
      <c r="R63" s="54">
        <f>IFERROR(VLOOKUP(Cileide!$D63,Tabela20[],3,0),0)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IFERROR(VLOOKUP(Cileide!$D64,Tabela20[],2,0),0)</f>
        <v>0</v>
      </c>
      <c r="R64" s="114">
        <f>IFERROR(VLOOKUP(Cileide!$D64,Tabela20[],3,0),0)</f>
        <v>0</v>
      </c>
    </row>
    <row r="65" spans="1:23" s="89" customFormat="1" hidden="1" x14ac:dyDescent="0.25">
      <c r="A65" s="89" t="s">
        <v>756</v>
      </c>
      <c r="F65" s="124">
        <f>SUM(Cileide!$F$54:$F$64)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5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IFERROR(VLOOKUP(Cileide!$D70,Tabela11[],2),0)</f>
        <v>0</v>
      </c>
      <c r="R70" s="54">
        <f>IFERROR(VLOOKUP(Cileide!$D70,Tabela11[],3),0)</f>
        <v>6</v>
      </c>
    </row>
    <row r="71" spans="1:23" ht="15" customHeight="1" x14ac:dyDescent="0.25">
      <c r="A71" s="180"/>
      <c r="B71" s="181"/>
      <c r="C71" s="182"/>
      <c r="D71" s="180" t="s">
        <v>793</v>
      </c>
      <c r="E71" s="182"/>
      <c r="F71" s="73">
        <v>2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IFERROR(VLOOKUP(Cileide!$D71,Tabela11[],2),0)</f>
        <v>0</v>
      </c>
      <c r="R71" s="54">
        <f>IFERROR(VLOOKUP(Cileide!$D71,Tabela11[],3),0)</f>
        <v>2</v>
      </c>
    </row>
    <row r="72" spans="1:23" x14ac:dyDescent="0.25">
      <c r="A72" s="180"/>
      <c r="B72" s="181"/>
      <c r="C72" s="182"/>
      <c r="D72" s="180" t="s">
        <v>791</v>
      </c>
      <c r="E72" s="182"/>
      <c r="F72" s="73">
        <v>5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IFERROR(VLOOKUP(Cileide!$D72,Tabela11[],2),0)</f>
        <v>0</v>
      </c>
      <c r="R72" s="54">
        <f>IFERROR(VLOOKUP(Cileide!$D72,Tabela11[],3),0)</f>
        <v>6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IFERROR(VLOOKUP(Cileide!$D73,Tabela11[],2),0)</f>
        <v>0</v>
      </c>
      <c r="R73" s="54">
        <f>IFERROR(VLOOKUP(Cileide!$D73,Tabela11[],3),0)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IFERROR(VLOOKUP(Cileide!$D74,Tabela11[],2),0)</f>
        <v>0</v>
      </c>
      <c r="R74" s="54">
        <f>IFERROR(VLOOKUP(Cileide!$D74,Tabela11[],3),0)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IFERROR(VLOOKUP(Cileide!$D75,Tabela11[],2),0)</f>
        <v>0</v>
      </c>
      <c r="R75" s="54">
        <f>IFERROR(VLOOKUP(Cileide!$D75,Tabela11[],3),0)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IFERROR(VLOOKUP(Cileide!$D76,Tabela11[],2),0)</f>
        <v>0</v>
      </c>
      <c r="R76" s="54">
        <f>IFERROR(VLOOKUP(Cileide!$D76,Tabela11[],3),0)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IFERROR(VLOOKUP(Cileide!$D77,Tabela11[],2),0)</f>
        <v>0</v>
      </c>
      <c r="R77" s="54">
        <f>IFERROR(VLOOKUP(Cileide!$D77,Tabela11[],3),0)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IFERROR(VLOOKUP(Cileide!$D78,Tabela11[],2),0)</f>
        <v>0</v>
      </c>
      <c r="R78" s="54">
        <f>IFERROR(VLOOKUP(Cileide!$D78,Tabela11[],3),0)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IFERROR(VLOOKUP(Cileide!$D79,Tabela11[],2),0)</f>
        <v>0</v>
      </c>
      <c r="R79" s="54">
        <f>IFERROR(VLOOKUP(Cileide!$D79,Tabela11[],3),0)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IFERROR(VLOOKUP(Cileide!$D80,Tabela11[],2),0)</f>
        <v>0</v>
      </c>
      <c r="R80" s="114">
        <f>IFERROR(VLOOKUP(Cileide!$D80,Tabela11[],3),0)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12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>
        <v>5</v>
      </c>
      <c r="G85" s="180"/>
      <c r="H85" s="182"/>
      <c r="I85" s="180"/>
      <c r="J85" s="182"/>
      <c r="K85" s="6"/>
      <c r="L85" s="121"/>
      <c r="M85" s="121"/>
      <c r="N85" s="122"/>
      <c r="O85" s="52">
        <f>IFERROR(VLOOKUP(Cileide!$D85,Tabela21[],2,0),0)</f>
        <v>0</v>
      </c>
      <c r="P85" s="54">
        <f>IFERROR(VLOOKUP(Cileide!$D85,Tabela21[],3,0),0)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IFERROR(VLOOKUP(Cileide!$D86,Tabela21[],2,0),0)</f>
        <v>0</v>
      </c>
      <c r="P86" s="54">
        <f>IFERROR(VLOOKUP(Cileide!$D86,Tabela21[],3,0),0)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IFERROR(VLOOKUP(Cileide!$D87,Tabela21[],2,0),0)</f>
        <v>0</v>
      </c>
      <c r="P87" s="54">
        <f>IFERROR(VLOOKUP(Cileide!$D87,Tabela21[],3,0),0)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IFERROR(VLOOKUP(Cileide!$D88,Tabela21[],2,0),0)</f>
        <v>0</v>
      </c>
      <c r="P88" s="54">
        <f>IFERROR(VLOOKUP(Cileide!$D88,Tabela21[],3,0),0)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IFERROR(VLOOKUP(Cileide!$D89,Tabela21[],2,0),0)</f>
        <v>0</v>
      </c>
      <c r="P89" s="54">
        <f>IFERROR(VLOOKUP(Cileide!$D89,Tabela21[],3,0),0)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IFERROR(VLOOKUP(Cileide!$D90,Tabela21[],2,0),0)</f>
        <v>0</v>
      </c>
      <c r="P90" s="54">
        <f>IFERROR(VLOOKUP(Cileide!$D90,Tabela21[],3,0),0)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IFERROR(VLOOKUP(Cileide!$D91,Tabela21[],2,0),0)</f>
        <v>0</v>
      </c>
      <c r="P91" s="54">
        <f>IFERROR(VLOOKUP(Cileide!$D91,Tabela21[],3,0),0)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IFERROR(VLOOKUP(Cileide!$D92,Tabela21[],2,0),0)</f>
        <v>0</v>
      </c>
      <c r="P92" s="54">
        <f>IFERROR(VLOOKUP(Cileide!$D92,Tabela21[],3,0),0)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IFERROR(VLOOKUP(Cileide!$D93,Tabela21[],2,0),0)</f>
        <v>0</v>
      </c>
      <c r="P93" s="54">
        <f>IFERROR(VLOOKUP(Cileide!$D93,Tabela21[],3,0),0)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IFERROR(VLOOKUP(Cileide!$D94,Tabela21[],2,0),0)</f>
        <v>0</v>
      </c>
      <c r="P94" s="54">
        <f>IFERROR(VLOOKUP(Cileide!$D94,Tabela21[],3,0),0)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IFERROR(VLOOKUP(Cileide!$D95,Tabela21[],2,0),0)</f>
        <v>0</v>
      </c>
      <c r="P95" s="54">
        <f>IFERROR(VLOOKUP(Cileide!$D95,Tabela21[],3,0),0)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IFERROR(VLOOKUP(Cileide!$D96,Tabela21[],2,0),0)</f>
        <v>0</v>
      </c>
      <c r="P96" s="54">
        <f>IFERROR(VLOOKUP(Cileide!$D96,Tabela21[],3,0),0)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5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IFERROR(VLOOKUP(Cileide!$D97,Tabela21[],2,0),0)</f>
        <v>0</v>
      </c>
      <c r="P97" s="136">
        <f>IFERROR(VLOOKUP(Cileide!$D97,Tabela21[],3,0),0)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IFERROR(VLOOKUP(Cileide!$A101,TFunçõesAdm[],3,0),40)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IFERROR(VLOOKUP(Cileide!$A102,TFunçõesAdm[],3,0),40)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IFERROR(VLOOKUP(Cileide!$A103,TFunçõesAdm[],3,0),40)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IFERROR(VLOOKUP(Cileide!$A104,TFunçõesAdm[],3,0),40)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IFERROR(VLOOKUP(Cileide!$A105,TFunçõesAdm[],3,0),40)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IFERROR(VLOOKUP(Cileide!$A106,TFunçõesAdm[],3,0),40)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IFERROR(VLOOKUP(Cileide!$A107,TFunçõesAdm[],3,0),40)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IFERROR(VLOOKUP(Cileide!$A108,TFunçõesAdm[],3,0),40)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IFERROR(VLOOKUP(Cileide!$A109,TFunçõesAdm[],3,0),40)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IFERROR(VLOOKUP(Cileide!$A110,TFunçõesAdm[],3,0),40)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IFERROR(VLOOKUP(Cileide!$A111,TFunçõesAdm[],3,0),40)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IFERROR(VLOOKUP(Cileide!$A112,TFunçõesAdm[],3,0),40)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5</v>
      </c>
      <c r="G113" s="124"/>
      <c r="H113" s="89"/>
      <c r="I113" s="124"/>
      <c r="J113" s="124"/>
      <c r="K113" s="89"/>
      <c r="L113" s="104">
        <f>MIN(Cileide!$L$101:$L$112)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SUM(Cileide!$F$123:$F$124)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11</v>
      </c>
      <c r="B134" s="143">
        <f>K32</f>
        <v>11</v>
      </c>
      <c r="C134" s="143">
        <f>K50</f>
        <v>6</v>
      </c>
      <c r="D134" s="143">
        <f>F65</f>
        <v>0</v>
      </c>
      <c r="E134" s="143">
        <f>F81</f>
        <v>12</v>
      </c>
      <c r="F134" s="143">
        <f>F97</f>
        <v>5</v>
      </c>
      <c r="G134" s="143">
        <f>F113</f>
        <v>5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50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Cileide Maria Medeiros Coelho Arruda De Souza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5</v>
      </c>
      <c r="G148" s="71">
        <f>SUM(H23:I31)</f>
        <v>6</v>
      </c>
      <c r="H148" s="71">
        <f>B134</f>
        <v>11</v>
      </c>
      <c r="I148" s="71">
        <f>C134</f>
        <v>6</v>
      </c>
      <c r="J148" s="71">
        <f>E134</f>
        <v>12</v>
      </c>
      <c r="K148" s="71">
        <f>F134</f>
        <v>5</v>
      </c>
      <c r="Q148" s="71">
        <v>0</v>
      </c>
      <c r="R148" s="71">
        <f>D134</f>
        <v>0</v>
      </c>
      <c r="S148" s="71">
        <f>G134</f>
        <v>5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50</v>
      </c>
    </row>
  </sheetData>
  <sheetProtection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684" priority="26">
      <formula>se+$A$134&lt;$L$35</formula>
    </cfRule>
    <cfRule type="cellIs" dxfId="683" priority="25" operator="lessThan">
      <formula>M35</formula>
    </cfRule>
  </conditionalFormatting>
  <conditionalFormatting sqref="B134">
    <cfRule type="expression" dxfId="682" priority="35">
      <formula>P32=1</formula>
    </cfRule>
  </conditionalFormatting>
  <conditionalFormatting sqref="E134">
    <cfRule type="expression" dxfId="681" priority="20">
      <formula>($E$134&gt;$L$68)</formula>
    </cfRule>
  </conditionalFormatting>
  <conditionalFormatting sqref="F54:F64">
    <cfRule type="cellIs" dxfId="680" priority="18" operator="greaterThan">
      <formula>R54</formula>
    </cfRule>
  </conditionalFormatting>
  <conditionalFormatting sqref="F101:F112">
    <cfRule type="cellIs" dxfId="679" priority="3" operator="notBetween">
      <formula>Q101</formula>
      <formula>R101</formula>
    </cfRule>
  </conditionalFormatting>
  <conditionalFormatting sqref="F70:G80">
    <cfRule type="cellIs" dxfId="678" priority="2" operator="notBetween">
      <formula>Q70</formula>
      <formula>R70</formula>
    </cfRule>
  </conditionalFormatting>
  <conditionalFormatting sqref="J12:J21">
    <cfRule type="expression" dxfId="677" priority="9">
      <formula>P12=1</formula>
    </cfRule>
  </conditionalFormatting>
  <conditionalFormatting sqref="J23:J31">
    <cfRule type="expression" dxfId="676" priority="1">
      <formula>P23=1</formula>
    </cfRule>
  </conditionalFormatting>
  <conditionalFormatting sqref="K37:K49">
    <cfRule type="expression" dxfId="675" priority="27">
      <formula>(K37&gt;R37)</formula>
    </cfRule>
  </conditionalFormatting>
  <conditionalFormatting sqref="K134">
    <cfRule type="cellIs" dxfId="674" priority="33" operator="notEqual">
      <formula>40</formula>
    </cfRule>
  </conditionalFormatting>
  <conditionalFormatting sqref="O85:P91">
    <cfRule type="expression" dxfId="673" priority="47">
      <formula>T82=1</formula>
    </cfRule>
  </conditionalFormatting>
  <conditionalFormatting sqref="O92:P92">
    <cfRule type="expression" dxfId="672" priority="54">
      <formula>T84=1</formula>
    </cfRule>
  </conditionalFormatting>
  <conditionalFormatting sqref="O93:P93">
    <cfRule type="expression" dxfId="671" priority="49">
      <formula>T84=1</formula>
    </cfRule>
  </conditionalFormatting>
  <conditionalFormatting sqref="O94:P94">
    <cfRule type="expression" dxfId="670" priority="48">
      <formula>T84=1</formula>
    </cfRule>
  </conditionalFormatting>
  <conditionalFormatting sqref="O95:P95">
    <cfRule type="expression" dxfId="669" priority="38">
      <formula>T84=1</formula>
    </cfRule>
  </conditionalFormatting>
  <conditionalFormatting sqref="O96:P96">
    <cfRule type="expression" dxfId="668" priority="21">
      <formula>T83=1</formula>
    </cfRule>
  </conditionalFormatting>
  <conditionalFormatting sqref="Q78:Q79">
    <cfRule type="expression" dxfId="667" priority="51">
      <formula>T68=1</formula>
    </cfRule>
  </conditionalFormatting>
  <conditionalFormatting sqref="Q80">
    <cfRule type="expression" dxfId="666" priority="43">
      <formula>S69=1</formula>
    </cfRule>
  </conditionalFormatting>
  <conditionalFormatting sqref="Q81">
    <cfRule type="expression" dxfId="665" priority="42">
      <formula>S69=1</formula>
    </cfRule>
  </conditionalFormatting>
  <conditionalFormatting sqref="Q37:R44">
    <cfRule type="expression" dxfId="664" priority="30">
      <formula>T34=1</formula>
    </cfRule>
  </conditionalFormatting>
  <conditionalFormatting sqref="Q45:R45">
    <cfRule type="expression" dxfId="663" priority="44">
      <formula>T37=1</formula>
    </cfRule>
  </conditionalFormatting>
  <conditionalFormatting sqref="Q46:R46">
    <cfRule type="expression" dxfId="662" priority="22">
      <formula>T37=1</formula>
    </cfRule>
  </conditionalFormatting>
  <conditionalFormatting sqref="Q47:R49">
    <cfRule type="expression" dxfId="661" priority="28">
      <formula>T37=1</formula>
    </cfRule>
  </conditionalFormatting>
  <conditionalFormatting sqref="Q54:R57">
    <cfRule type="expression" dxfId="660" priority="31">
      <formula>T51=1</formula>
    </cfRule>
  </conditionalFormatting>
  <conditionalFormatting sqref="Q58:R63">
    <cfRule type="expression" dxfId="659" priority="23">
      <formula>T52=1</formula>
    </cfRule>
  </conditionalFormatting>
  <conditionalFormatting sqref="Q64:R64">
    <cfRule type="expression" dxfId="658" priority="50">
      <formula>T53=1</formula>
    </cfRule>
  </conditionalFormatting>
  <conditionalFormatting sqref="Q70:R76">
    <cfRule type="expression" dxfId="657" priority="36">
      <formula>T66=1</formula>
    </cfRule>
  </conditionalFormatting>
  <conditionalFormatting sqref="Q77:R77">
    <cfRule type="expression" dxfId="656" priority="29">
      <formula>T68=1</formula>
    </cfRule>
  </conditionalFormatting>
  <conditionalFormatting sqref="Q101:R106 Q107:Q112 R109">
    <cfRule type="expression" dxfId="655" priority="39">
      <formula>T99=1</formula>
    </cfRule>
  </conditionalFormatting>
  <conditionalFormatting sqref="Q113:R113">
    <cfRule type="expression" dxfId="654" priority="34">
      <formula>#REF!=1</formula>
    </cfRule>
  </conditionalFormatting>
  <conditionalFormatting sqref="R78:R79">
    <cfRule type="expression" dxfId="653" priority="46">
      <formula>U67=1</formula>
    </cfRule>
  </conditionalFormatting>
  <conditionalFormatting sqref="R80">
    <cfRule type="expression" dxfId="652" priority="52">
      <formula>U67=1</formula>
    </cfRule>
  </conditionalFormatting>
  <conditionalFormatting sqref="R81">
    <cfRule type="expression" dxfId="651" priority="53">
      <formula>U69=1</formula>
    </cfRule>
  </conditionalFormatting>
  <conditionalFormatting sqref="R107:R108">
    <cfRule type="expression" dxfId="650" priority="55">
      <formula>U101=1</formula>
    </cfRule>
  </conditionalFormatting>
  <conditionalFormatting sqref="R110:R112">
    <cfRule type="expression" dxfId="649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4475E65D-23B7-44A3-9177-DB5E9DB06669}">
          <x14:formula1>
            <xm:f>'Grade Pós'!$A:$A</xm:f>
          </x14:formula1>
          <xm:sqref>A23:A31</xm:sqref>
        </x14:dataValidation>
        <x14:dataValidation type="list" allowBlank="1" showInputMessage="1" showErrorMessage="1" xr:uid="{A592B6C6-9CB7-4F19-B933-E8271947926D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56B25591-9CC6-46C0-BC47-C2CA82E4E82D}">
          <x14:formula1>
            <xm:f>Profs!$A:$A</xm:f>
          </x14:formula1>
          <xm:sqref>A5</xm:sqref>
        </x14:dataValidation>
        <x14:dataValidation type="list" allowBlank="1" showInputMessage="1" showErrorMessage="1" xr:uid="{E45C4529-0DE0-400D-A044-A751DC61B43A}">
          <x14:formula1>
            <xm:f>Dados!$A$108:$A$109</xm:f>
          </x14:formula1>
          <xm:sqref>D54:D64</xm:sqref>
        </x14:dataValidation>
        <x14:dataValidation type="list" allowBlank="1" showInputMessage="1" showErrorMessage="1" xr:uid="{E81E772C-85FA-4E75-8293-D852EA795EB4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EFAFB1A1-A383-4513-B84C-9308D56C019B}">
          <x14:formula1>
            <xm:f>Dados!$A$44:$A$78</xm:f>
          </x14:formula1>
          <xm:sqref>A101:A112</xm:sqref>
        </x14:dataValidation>
        <x14:dataValidation type="list" allowBlank="1" showInputMessage="1" showErrorMessage="1" xr:uid="{9B06EB59-CE77-4DE7-B0D7-F5A4DE2951B0}">
          <x14:formula1>
            <xm:f>Dados!$A$95:$A$99</xm:f>
          </x14:formula1>
          <xm:sqref>D68</xm:sqref>
        </x14:dataValidation>
        <x14:dataValidation type="list" allowBlank="1" showInputMessage="1" showErrorMessage="1" xr:uid="{0018880C-DBA7-471E-8B7C-21A003F0CF14}">
          <x14:formula1>
            <xm:f>Dados!$A$85:$A$90</xm:f>
          </x14:formula1>
          <xm:sqref>A37:A49</xm:sqref>
        </x14:dataValidation>
        <x14:dataValidation type="list" allowBlank="1" showInputMessage="1" showErrorMessage="1" xr:uid="{3006A2F2-B141-423A-80AA-2F1CA1D41F20}">
          <x14:formula1>
            <xm:f>Dados!$A$38:$A$39</xm:f>
          </x14:formula1>
          <xm:sqref>H35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9FA0-FE16-43EA-A89E-3706A737B8B5}">
  <sheetPr>
    <pageSetUpPr fitToPage="1"/>
  </sheetPr>
  <dimension ref="A1:W148"/>
  <sheetViews>
    <sheetView showGridLines="0" tabSelected="1" zoomScale="73" zoomScaleNormal="73" workbookViewId="0">
      <selection activeCell="J12" sqref="J12:K14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408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183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1ª</v>
      </c>
      <c r="G12" s="184"/>
      <c r="H12" s="73">
        <v>2</v>
      </c>
      <c r="I12" s="73">
        <v>0</v>
      </c>
      <c r="J12" s="180">
        <v>2</v>
      </c>
      <c r="K12" s="181"/>
      <c r="L12" s="2">
        <f t="shared" ref="L12:L21" si="0">SUM(H12:I12)</f>
        <v>2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1</v>
      </c>
      <c r="R12" s="54">
        <f t="shared" ref="R12:R21" si="5">IFERROR(_xlfn.IFS($M$32=1,L12,$M$32=2,L12,$M$32=3,(L12*1.3),$M$32&gt;3,(L12*1.5)),0)</f>
        <v>3</v>
      </c>
    </row>
    <row r="13" spans="1:22" ht="15" customHeight="1" x14ac:dyDescent="0.25">
      <c r="A13" s="180" t="s">
        <v>192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5ª</v>
      </c>
      <c r="G13" s="184"/>
      <c r="H13" s="73">
        <v>1</v>
      </c>
      <c r="I13" s="73">
        <v>6</v>
      </c>
      <c r="J13" s="185">
        <v>7</v>
      </c>
      <c r="K13" s="180"/>
      <c r="L13" s="2">
        <f t="shared" si="0"/>
        <v>7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3.5</v>
      </c>
      <c r="R13" s="54">
        <f t="shared" si="5"/>
        <v>10.5</v>
      </c>
    </row>
    <row r="14" spans="1:22" ht="15" customHeight="1" x14ac:dyDescent="0.25">
      <c r="A14" s="180" t="s">
        <v>199</v>
      </c>
      <c r="B14" s="181"/>
      <c r="C14" s="182"/>
      <c r="D14" s="183" t="str">
        <f>IFERROR(VLOOKUP(A14,TGradeCurricular[],2,0),"")</f>
        <v>Agronomia</v>
      </c>
      <c r="E14" s="184"/>
      <c r="F14" s="183" t="str">
        <f>IFERROR(VLOOKUP(A14,TGradeCurricular[],3,0),"")</f>
        <v>6ª</v>
      </c>
      <c r="G14" s="184"/>
      <c r="H14" s="73">
        <v>2</v>
      </c>
      <c r="I14" s="73">
        <v>0</v>
      </c>
      <c r="J14" s="185">
        <v>2</v>
      </c>
      <c r="K14" s="180"/>
      <c r="L14" s="2">
        <f t="shared" si="0"/>
        <v>2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1</v>
      </c>
      <c r="R14" s="54">
        <f t="shared" si="5"/>
        <v>3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IFERROR(VLOOKUP(Claudio!$A23,'Grade Pós'!A:B,2,0),"")</f>
        <v>PROGRAMA</v>
      </c>
      <c r="E23" s="200"/>
      <c r="F23" s="200"/>
      <c r="G23" s="184"/>
      <c r="H23" s="180">
        <v>2</v>
      </c>
      <c r="I23" s="182"/>
      <c r="J23" s="185">
        <v>2</v>
      </c>
      <c r="K23" s="185"/>
      <c r="L23" s="2">
        <f>SUM(H23:I23)</f>
        <v>2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1</v>
      </c>
      <c r="R23" s="54">
        <f t="shared" ref="R23:R32" si="9">IFERROR(_xlfn.IFS($M$32=1,L23,$M$32=2,L23,$M$32=3,(L23*1.3),$M$32&gt;3,(L23*1.5)),0)</f>
        <v>3</v>
      </c>
    </row>
    <row r="24" spans="1:22" ht="26.25" customHeight="1" x14ac:dyDescent="0.25">
      <c r="A24" s="180"/>
      <c r="B24" s="181"/>
      <c r="C24" s="182"/>
      <c r="D24" s="183" t="str">
        <f>IFERROR(VLOOKUP(Claudio!$A24,'Grade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IFERROR(VLOOKUP(Claudio!$A25,'Grade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IFERROR(VLOOKUP(Claudio!$A26,'Grade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IFERROR(VLOOKUP(Claudio!$A27,'Grade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IFERROR(VLOOKUP(Claudio!$A28,'Grade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IFERROR(VLOOKUP(Claudio!$A29,'Grade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IFERROR(VLOOKUP(Claudio!$A30,'Grade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IFERROR(VLOOKUP(Claudio!$A31,'Grade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11</v>
      </c>
      <c r="K32" s="99">
        <f>SUM(J12:J31)</f>
        <v>13</v>
      </c>
      <c r="L32" s="4">
        <f>SUM(L12:L31)</f>
        <v>13</v>
      </c>
      <c r="M32" s="5">
        <f>SUM(M12:M31)</f>
        <v>4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6.5</v>
      </c>
      <c r="R32" s="101">
        <f t="shared" si="9"/>
        <v>19.5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4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115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1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2</v>
      </c>
    </row>
    <row r="38" spans="1:22" x14ac:dyDescent="0.25">
      <c r="A38" s="180" t="s">
        <v>113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3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3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5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 t="s">
        <v>1415</v>
      </c>
      <c r="B54" s="181"/>
      <c r="C54" s="182"/>
      <c r="D54" s="180" t="s">
        <v>793</v>
      </c>
      <c r="E54" s="182"/>
      <c r="F54" s="74">
        <v>3</v>
      </c>
      <c r="G54" s="180">
        <v>1</v>
      </c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IFERROR(VLOOKUP(Claudio!$D54,Tabela20[],2,0),0)</f>
        <v>0</v>
      </c>
      <c r="R54" s="54">
        <f>IFERROR(VLOOKUP(Claudio!$D54,Tabela20[],3,0),0)</f>
        <v>2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IFERROR(VLOOKUP(Claudio!$D55,Tabela20[],2,0),0)</f>
        <v>0</v>
      </c>
      <c r="R55" s="54">
        <f>IFERROR(VLOOKUP(Claudio!$D55,Tabela20[],3,0),0)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IFERROR(VLOOKUP(Claudio!$D56,Tabela20[],2,0),0)</f>
        <v>0</v>
      </c>
      <c r="R56" s="54">
        <f>IFERROR(VLOOKUP(Claudio!$D56,Tabela20[],3,0),0)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IFERROR(VLOOKUP(Claudio!$D57,Tabela20[],2,0),0)</f>
        <v>0</v>
      </c>
      <c r="R57" s="54">
        <f>IFERROR(VLOOKUP(Claudio!$D57,Tabela20[],3,0),0)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IFERROR(VLOOKUP(Claudio!$D58,Tabela20[],2,0),0)</f>
        <v>0</v>
      </c>
      <c r="R58" s="54">
        <f>IFERROR(VLOOKUP(Claudio!$D58,Tabela20[],3,0),0)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IFERROR(VLOOKUP(Claudio!$D59,Tabela20[],2,0),0)</f>
        <v>0</v>
      </c>
      <c r="R59" s="54">
        <f>IFERROR(VLOOKUP(Claudio!$D59,Tabela20[],3,0),0)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IFERROR(VLOOKUP(Claudio!$D60,Tabela20[],2,0),0)</f>
        <v>0</v>
      </c>
      <c r="R60" s="54">
        <f>IFERROR(VLOOKUP(Claudio!$D60,Tabela20[],3,0),0)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IFERROR(VLOOKUP(Claudio!$D61,Tabela20[],2,0),0)</f>
        <v>0</v>
      </c>
      <c r="R61" s="54">
        <f>IFERROR(VLOOKUP(Claudio!$D61,Tabela20[],3,0),0)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IFERROR(VLOOKUP(Claudio!$D62,Tabela20[],2,0),0)</f>
        <v>0</v>
      </c>
      <c r="R62" s="54">
        <f>IFERROR(VLOOKUP(Claudio!$D62,Tabela20[],3,0),0)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IFERROR(VLOOKUP(Claudio!$D63,Tabela20[],2,0),0)</f>
        <v>0</v>
      </c>
      <c r="R63" s="54">
        <f>IFERROR(VLOOKUP(Claudio!$D63,Tabela20[],3,0),0)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IFERROR(VLOOKUP(Claudio!$D64,Tabela20[],2,0),0)</f>
        <v>0</v>
      </c>
      <c r="R64" s="114">
        <f>IFERROR(VLOOKUP(Claudio!$D64,Tabela20[],3,0),0)</f>
        <v>0</v>
      </c>
    </row>
    <row r="65" spans="1:23" s="89" customFormat="1" hidden="1" x14ac:dyDescent="0.25">
      <c r="A65" s="89" t="s">
        <v>756</v>
      </c>
      <c r="F65" s="124">
        <f>SUM(Claudio!$F$54:$F$64)</f>
        <v>3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2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IFERROR(VLOOKUP(Claudio!$D70,Tabela11[],2),0)</f>
        <v>0</v>
      </c>
      <c r="R70" s="54">
        <f>IFERROR(VLOOKUP(Claudio!$D70,Tabela11[],3),0)</f>
        <v>6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IFERROR(VLOOKUP(Claudio!$D71,Tabela11[],2),0)</f>
        <v>0</v>
      </c>
      <c r="R71" s="54">
        <f>IFERROR(VLOOKUP(Claudio!$D71,Tabela11[],3),0)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IFERROR(VLOOKUP(Claudio!$D72,Tabela11[],2),0)</f>
        <v>0</v>
      </c>
      <c r="R72" s="54">
        <f>IFERROR(VLOOKUP(Claudio!$D72,Tabela11[],3),0)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IFERROR(VLOOKUP(Claudio!$D73,Tabela11[],2),0)</f>
        <v>0</v>
      </c>
      <c r="R73" s="54">
        <f>IFERROR(VLOOKUP(Claudio!$D73,Tabela11[],3),0)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IFERROR(VLOOKUP(Claudio!$D74,Tabela11[],2),0)</f>
        <v>0</v>
      </c>
      <c r="R74" s="54">
        <f>IFERROR(VLOOKUP(Claudio!$D74,Tabela11[],3),0)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IFERROR(VLOOKUP(Claudio!$D75,Tabela11[],2),0)</f>
        <v>0</v>
      </c>
      <c r="R75" s="54">
        <f>IFERROR(VLOOKUP(Claudio!$D75,Tabela11[],3),0)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IFERROR(VLOOKUP(Claudio!$D76,Tabela11[],2),0)</f>
        <v>0</v>
      </c>
      <c r="R76" s="54">
        <f>IFERROR(VLOOKUP(Claudio!$D76,Tabela11[],3),0)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IFERROR(VLOOKUP(Claudio!$D77,Tabela11[],2),0)</f>
        <v>0</v>
      </c>
      <c r="R77" s="54">
        <f>IFERROR(VLOOKUP(Claudio!$D77,Tabela11[],3),0)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IFERROR(VLOOKUP(Claudio!$D78,Tabela11[],2),0)</f>
        <v>0</v>
      </c>
      <c r="R78" s="54">
        <f>IFERROR(VLOOKUP(Claudio!$D78,Tabela11[],3),0)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IFERROR(VLOOKUP(Claudio!$D79,Tabela11[],2),0)</f>
        <v>0</v>
      </c>
      <c r="R79" s="54">
        <f>IFERROR(VLOOKUP(Claudio!$D79,Tabela11[],3),0)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IFERROR(VLOOKUP(Claudio!$D80,Tabela11[],2),0)</f>
        <v>0</v>
      </c>
      <c r="R80" s="114">
        <f>IFERROR(VLOOKUP(Claudio!$D80,Tabela11[],3),0)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2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>
        <v>6</v>
      </c>
      <c r="G85" s="180"/>
      <c r="H85" s="182"/>
      <c r="I85" s="180"/>
      <c r="J85" s="182"/>
      <c r="K85" s="6"/>
      <c r="L85" s="121"/>
      <c r="M85" s="121"/>
      <c r="N85" s="122"/>
      <c r="O85" s="52">
        <f>IFERROR(VLOOKUP(Claudio!$D85,Tabela21[],2,0),0)</f>
        <v>0</v>
      </c>
      <c r="P85" s="54">
        <f>IFERROR(VLOOKUP(Claudio!$D85,Tabela21[],3,0),0)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IFERROR(VLOOKUP(Claudio!$D86,Tabela21[],2,0),0)</f>
        <v>0</v>
      </c>
      <c r="P86" s="54">
        <f>IFERROR(VLOOKUP(Claudio!$D86,Tabela21[],3,0),0)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IFERROR(VLOOKUP(Claudio!$D87,Tabela21[],2,0),0)</f>
        <v>0</v>
      </c>
      <c r="P87" s="54">
        <f>IFERROR(VLOOKUP(Claudio!$D87,Tabela21[],3,0),0)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IFERROR(VLOOKUP(Claudio!$D88,Tabela21[],2,0),0)</f>
        <v>0</v>
      </c>
      <c r="P88" s="54">
        <f>IFERROR(VLOOKUP(Claudio!$D88,Tabela21[],3,0),0)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IFERROR(VLOOKUP(Claudio!$D89,Tabela21[],2,0),0)</f>
        <v>0</v>
      </c>
      <c r="P89" s="54">
        <f>IFERROR(VLOOKUP(Claudio!$D89,Tabela21[],3,0),0)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IFERROR(VLOOKUP(Claudio!$D90,Tabela21[],2,0),0)</f>
        <v>0</v>
      </c>
      <c r="P90" s="54">
        <f>IFERROR(VLOOKUP(Claudio!$D90,Tabela21[],3,0),0)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IFERROR(VLOOKUP(Claudio!$D91,Tabela21[],2,0),0)</f>
        <v>0</v>
      </c>
      <c r="P91" s="54">
        <f>IFERROR(VLOOKUP(Claudio!$D91,Tabela21[],3,0),0)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IFERROR(VLOOKUP(Claudio!$D92,Tabela21[],2,0),0)</f>
        <v>0</v>
      </c>
      <c r="P92" s="54">
        <f>IFERROR(VLOOKUP(Claudio!$D92,Tabela21[],3,0),0)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IFERROR(VLOOKUP(Claudio!$D93,Tabela21[],2,0),0)</f>
        <v>0</v>
      </c>
      <c r="P93" s="54">
        <f>IFERROR(VLOOKUP(Claudio!$D93,Tabela21[],3,0),0)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IFERROR(VLOOKUP(Claudio!$D94,Tabela21[],2,0),0)</f>
        <v>0</v>
      </c>
      <c r="P94" s="54">
        <f>IFERROR(VLOOKUP(Claudio!$D94,Tabela21[],3,0),0)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IFERROR(VLOOKUP(Claudio!$D95,Tabela21[],2,0),0)</f>
        <v>0</v>
      </c>
      <c r="P95" s="54">
        <f>IFERROR(VLOOKUP(Claudio!$D95,Tabela21[],3,0),0)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IFERROR(VLOOKUP(Claudio!$D96,Tabela21[],2,0),0)</f>
        <v>0</v>
      </c>
      <c r="P96" s="54">
        <f>IFERROR(VLOOKUP(Claudio!$D96,Tabela21[],3,0),0)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6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IFERROR(VLOOKUP(Claudio!$D97,Tabela21[],2,0),0)</f>
        <v>0</v>
      </c>
      <c r="P97" s="136">
        <f>IFERROR(VLOOKUP(Claudio!$D97,Tabela21[],3,0),0)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IFERROR(VLOOKUP(Claudio!$A101,TFunçõesAdm[],3,0),40)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 t="s">
        <v>824</v>
      </c>
      <c r="B102" s="181"/>
      <c r="C102" s="182"/>
      <c r="D102" s="180"/>
      <c r="E102" s="182"/>
      <c r="F102" s="73">
        <v>32</v>
      </c>
      <c r="G102" s="180"/>
      <c r="H102" s="182"/>
      <c r="I102" s="218"/>
      <c r="J102" s="219"/>
      <c r="K102" s="75"/>
      <c r="L102" s="2">
        <f>IFERROR(VLOOKUP(Claudio!$A102,TFunçõesAdm[],3,0),40)</f>
        <v>4</v>
      </c>
      <c r="M102" s="3"/>
      <c r="N102" s="95"/>
      <c r="O102" s="95"/>
      <c r="P102" s="95"/>
      <c r="Q102" s="52">
        <v>0</v>
      </c>
      <c r="R102" s="54">
        <f>IFERROR(VLOOKUP(A102,TFunçõesAdm[],2,FALSE),0)</f>
        <v>32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IFERROR(VLOOKUP(Claudio!$A103,TFunçõesAdm[],3,0),40)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IFERROR(VLOOKUP(Claudio!$A104,TFunçõesAdm[],3,0),40)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IFERROR(VLOOKUP(Claudio!$A105,TFunçõesAdm[],3,0),40)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IFERROR(VLOOKUP(Claudio!$A106,TFunçõesAdm[],3,0),40)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IFERROR(VLOOKUP(Claudio!$A107,TFunçõesAdm[],3,0),40)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IFERROR(VLOOKUP(Claudio!$A108,TFunçõesAdm[],3,0),40)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IFERROR(VLOOKUP(Claudio!$A109,TFunçõesAdm[],3,0),40)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IFERROR(VLOOKUP(Claudio!$A110,TFunçõesAdm[],3,0),40)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IFERROR(VLOOKUP(Claudio!$A111,TFunçõesAdm[],3,0),40)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IFERROR(VLOOKUP(Claudio!$A112,TFunçõesAdm[],3,0),40)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37</v>
      </c>
      <c r="G113" s="124"/>
      <c r="H113" s="89"/>
      <c r="I113" s="124"/>
      <c r="J113" s="124"/>
      <c r="K113" s="89"/>
      <c r="L113" s="104">
        <f>MIN(Claudio!$L$101:$L$112)</f>
        <v>4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SUM(Claudio!$F$123:$F$124)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13</v>
      </c>
      <c r="B134" s="143">
        <f>K32</f>
        <v>13</v>
      </c>
      <c r="C134" s="143">
        <f>K50</f>
        <v>3</v>
      </c>
      <c r="D134" s="143">
        <f>F65</f>
        <v>3</v>
      </c>
      <c r="E134" s="143">
        <f>F81</f>
        <v>2</v>
      </c>
      <c r="F134" s="143">
        <f>F97</f>
        <v>6</v>
      </c>
      <c r="G134" s="143">
        <f>F113</f>
        <v>37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77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Claúdio Roberto Franco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11</v>
      </c>
      <c r="G148" s="71">
        <f>SUM(H23:I31)</f>
        <v>2</v>
      </c>
      <c r="H148" s="71">
        <f>B134</f>
        <v>13</v>
      </c>
      <c r="I148" s="71">
        <f>C134</f>
        <v>3</v>
      </c>
      <c r="J148" s="71">
        <f>E134</f>
        <v>2</v>
      </c>
      <c r="K148" s="71">
        <f>F134</f>
        <v>6</v>
      </c>
      <c r="Q148" s="71">
        <v>0</v>
      </c>
      <c r="R148" s="71">
        <f>D134</f>
        <v>3</v>
      </c>
      <c r="S148" s="71">
        <f>G134</f>
        <v>37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77</v>
      </c>
    </row>
  </sheetData>
  <sheetProtection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648" priority="26">
      <formula>se+$A$134&lt;$L$35</formula>
    </cfRule>
    <cfRule type="cellIs" dxfId="647" priority="25" operator="lessThan">
      <formula>M35</formula>
    </cfRule>
  </conditionalFormatting>
  <conditionalFormatting sqref="B134">
    <cfRule type="expression" dxfId="646" priority="35">
      <formula>P32=1</formula>
    </cfRule>
  </conditionalFormatting>
  <conditionalFormatting sqref="E134">
    <cfRule type="expression" dxfId="645" priority="20">
      <formula>($E$134&gt;$L$68)</formula>
    </cfRule>
  </conditionalFormatting>
  <conditionalFormatting sqref="F54:F64">
    <cfRule type="cellIs" dxfId="644" priority="18" operator="greaterThan">
      <formula>R54</formula>
    </cfRule>
  </conditionalFormatting>
  <conditionalFormatting sqref="F101:F112">
    <cfRule type="cellIs" dxfId="643" priority="3" operator="notBetween">
      <formula>Q101</formula>
      <formula>R101</formula>
    </cfRule>
  </conditionalFormatting>
  <conditionalFormatting sqref="F70:G80">
    <cfRule type="cellIs" dxfId="642" priority="2" operator="notBetween">
      <formula>Q70</formula>
      <formula>R70</formula>
    </cfRule>
  </conditionalFormatting>
  <conditionalFormatting sqref="J12:J21">
    <cfRule type="expression" dxfId="641" priority="9">
      <formula>P12=1</formula>
    </cfRule>
  </conditionalFormatting>
  <conditionalFormatting sqref="J23:J31">
    <cfRule type="expression" dxfId="640" priority="1">
      <formula>P23=1</formula>
    </cfRule>
  </conditionalFormatting>
  <conditionalFormatting sqref="K37:K49">
    <cfRule type="expression" dxfId="639" priority="27">
      <formula>(K37&gt;R37)</formula>
    </cfRule>
  </conditionalFormatting>
  <conditionalFormatting sqref="K134">
    <cfRule type="cellIs" dxfId="638" priority="33" operator="notEqual">
      <formula>40</formula>
    </cfRule>
  </conditionalFormatting>
  <conditionalFormatting sqref="O85:P91">
    <cfRule type="expression" dxfId="637" priority="47">
      <formula>T82=1</formula>
    </cfRule>
  </conditionalFormatting>
  <conditionalFormatting sqref="O92:P92">
    <cfRule type="expression" dxfId="636" priority="54">
      <formula>T84=1</formula>
    </cfRule>
  </conditionalFormatting>
  <conditionalFormatting sqref="O93:P93">
    <cfRule type="expression" dxfId="635" priority="49">
      <formula>T84=1</formula>
    </cfRule>
  </conditionalFormatting>
  <conditionalFormatting sqref="O94:P94">
    <cfRule type="expression" dxfId="634" priority="48">
      <formula>T84=1</formula>
    </cfRule>
  </conditionalFormatting>
  <conditionalFormatting sqref="O95:P95">
    <cfRule type="expression" dxfId="633" priority="38">
      <formula>T84=1</formula>
    </cfRule>
  </conditionalFormatting>
  <conditionalFormatting sqref="O96:P96">
    <cfRule type="expression" dxfId="632" priority="21">
      <formula>T83=1</formula>
    </cfRule>
  </conditionalFormatting>
  <conditionalFormatting sqref="Q78:Q79">
    <cfRule type="expression" dxfId="631" priority="51">
      <formula>T68=1</formula>
    </cfRule>
  </conditionalFormatting>
  <conditionalFormatting sqref="Q80">
    <cfRule type="expression" dxfId="630" priority="43">
      <formula>S69=1</formula>
    </cfRule>
  </conditionalFormatting>
  <conditionalFormatting sqref="Q81">
    <cfRule type="expression" dxfId="629" priority="42">
      <formula>S69=1</formula>
    </cfRule>
  </conditionalFormatting>
  <conditionalFormatting sqref="Q37:R44">
    <cfRule type="expression" dxfId="628" priority="30">
      <formula>T34=1</formula>
    </cfRule>
  </conditionalFormatting>
  <conditionalFormatting sqref="Q45:R45">
    <cfRule type="expression" dxfId="627" priority="44">
      <formula>T37=1</formula>
    </cfRule>
  </conditionalFormatting>
  <conditionalFormatting sqref="Q46:R46">
    <cfRule type="expression" dxfId="626" priority="22">
      <formula>T37=1</formula>
    </cfRule>
  </conditionalFormatting>
  <conditionalFormatting sqref="Q47:R49">
    <cfRule type="expression" dxfId="625" priority="28">
      <formula>T37=1</formula>
    </cfRule>
  </conditionalFormatting>
  <conditionalFormatting sqref="Q54:R57">
    <cfRule type="expression" dxfId="624" priority="31">
      <formula>T51=1</formula>
    </cfRule>
  </conditionalFormatting>
  <conditionalFormatting sqref="Q58:R63">
    <cfRule type="expression" dxfId="623" priority="23">
      <formula>T52=1</formula>
    </cfRule>
  </conditionalFormatting>
  <conditionalFormatting sqref="Q64:R64">
    <cfRule type="expression" dxfId="622" priority="50">
      <formula>T53=1</formula>
    </cfRule>
  </conditionalFormatting>
  <conditionalFormatting sqref="Q70:R76">
    <cfRule type="expression" dxfId="621" priority="36">
      <formula>T66=1</formula>
    </cfRule>
  </conditionalFormatting>
  <conditionalFormatting sqref="Q77:R77">
    <cfRule type="expression" dxfId="620" priority="29">
      <formula>T68=1</formula>
    </cfRule>
  </conditionalFormatting>
  <conditionalFormatting sqref="Q101:R106 Q107:Q112 R109">
    <cfRule type="expression" dxfId="619" priority="39">
      <formula>T99=1</formula>
    </cfRule>
  </conditionalFormatting>
  <conditionalFormatting sqref="Q113:R113">
    <cfRule type="expression" dxfId="618" priority="34">
      <formula>#REF!=1</formula>
    </cfRule>
  </conditionalFormatting>
  <conditionalFormatting sqref="R78:R79">
    <cfRule type="expression" dxfId="617" priority="46">
      <formula>U67=1</formula>
    </cfRule>
  </conditionalFormatting>
  <conditionalFormatting sqref="R80">
    <cfRule type="expression" dxfId="616" priority="52">
      <formula>U67=1</formula>
    </cfRule>
  </conditionalFormatting>
  <conditionalFormatting sqref="R81">
    <cfRule type="expression" dxfId="615" priority="53">
      <formula>U69=1</formula>
    </cfRule>
  </conditionalFormatting>
  <conditionalFormatting sqref="R107:R108">
    <cfRule type="expression" dxfId="614" priority="55">
      <formula>U101=1</formula>
    </cfRule>
  </conditionalFormatting>
  <conditionalFormatting sqref="R110:R112">
    <cfRule type="expression" dxfId="613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B2139F99-52A9-44E9-99C9-D0F68E7F23E7}">
          <x14:formula1>
            <xm:f>'Grade Pós'!$A:$A</xm:f>
          </x14:formula1>
          <xm:sqref>A23:A31</xm:sqref>
        </x14:dataValidation>
        <x14:dataValidation type="list" allowBlank="1" showInputMessage="1" showErrorMessage="1" xr:uid="{28EB6121-BD0F-4412-BC65-7E088F16AAAB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DD1DD205-1E94-43B0-BF61-9FE6A3384F5B}">
          <x14:formula1>
            <xm:f>Profs!$A:$A</xm:f>
          </x14:formula1>
          <xm:sqref>A5</xm:sqref>
        </x14:dataValidation>
        <x14:dataValidation type="list" allowBlank="1" showInputMessage="1" showErrorMessage="1" xr:uid="{69DB40CB-F5D0-414D-A182-CF387E43B4B5}">
          <x14:formula1>
            <xm:f>Dados!$A$108:$A$109</xm:f>
          </x14:formula1>
          <xm:sqref>D54:D64</xm:sqref>
        </x14:dataValidation>
        <x14:dataValidation type="list" allowBlank="1" showInputMessage="1" showErrorMessage="1" xr:uid="{1E5B11AE-64F1-4175-BB10-6B5B1CEA3AA8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B72C8A2B-7214-4FE5-9D2D-4BF55091176E}">
          <x14:formula1>
            <xm:f>Dados!$A$44:$A$78</xm:f>
          </x14:formula1>
          <xm:sqref>A101:A112</xm:sqref>
        </x14:dataValidation>
        <x14:dataValidation type="list" allowBlank="1" showInputMessage="1" showErrorMessage="1" xr:uid="{1230447B-FC08-4507-BBE0-3EEA47E1D052}">
          <x14:formula1>
            <xm:f>Dados!$A$95:$A$99</xm:f>
          </x14:formula1>
          <xm:sqref>D68</xm:sqref>
        </x14:dataValidation>
        <x14:dataValidation type="list" allowBlank="1" showInputMessage="1" showErrorMessage="1" xr:uid="{54C44A15-94E7-4688-99B3-AB16979FD699}">
          <x14:formula1>
            <xm:f>Dados!$A$85:$A$90</xm:f>
          </x14:formula1>
          <xm:sqref>A37:A49</xm:sqref>
        </x14:dataValidation>
        <x14:dataValidation type="list" allowBlank="1" showInputMessage="1" showErrorMessage="1" xr:uid="{28E983A5-82BA-4584-B646-2920A061154B}">
          <x14:formula1>
            <xm:f>Dados!$A$38:$A$39</xm:f>
          </x14:formula1>
          <xm:sqref>H35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50C3-5EA2-49A0-9D6C-3D45EF85CC92}">
  <sheetPr>
    <pageSetUpPr fitToPage="1"/>
  </sheetPr>
  <dimension ref="A1:W148"/>
  <sheetViews>
    <sheetView showGridLines="0" topLeftCell="A98" zoomScale="68" zoomScaleNormal="68" workbookViewId="0">
      <selection activeCell="J24" sqref="J24:K24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573</v>
      </c>
      <c r="B5" s="178"/>
      <c r="C5" s="178"/>
      <c r="D5" s="177"/>
      <c r="E5" s="177"/>
      <c r="F5" s="177"/>
      <c r="G5" s="177"/>
      <c r="H5" s="171" t="str">
        <f>VLOOKUP(A5,TProfessores[],2,0)</f>
        <v>Produção Animal e Alimentos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207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7ª</v>
      </c>
      <c r="G12" s="184"/>
      <c r="H12" s="73">
        <v>2</v>
      </c>
      <c r="I12" s="73">
        <v>1</v>
      </c>
      <c r="J12" s="180">
        <v>3</v>
      </c>
      <c r="K12" s="181"/>
      <c r="L12" s="2">
        <f t="shared" ref="L12:L21" si="0">SUM(H12:I12)</f>
        <v>3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1.5</v>
      </c>
      <c r="R12" s="54">
        <f t="shared" ref="R12:R21" si="5">IFERROR(_xlfn.IFS($M$32=1,L12,$M$32=2,L12,$M$32=3,(L12*1.3),$M$32&gt;3,(L12*1.5)),0)</f>
        <v>3.9000000000000004</v>
      </c>
    </row>
    <row r="13" spans="1:22" ht="15" customHeight="1" x14ac:dyDescent="0.25">
      <c r="A13" s="180" t="s">
        <v>215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9ª</v>
      </c>
      <c r="G13" s="184"/>
      <c r="H13" s="73">
        <v>1</v>
      </c>
      <c r="I13" s="73">
        <v>0</v>
      </c>
      <c r="J13" s="185">
        <v>1</v>
      </c>
      <c r="K13" s="180"/>
      <c r="L13" s="2">
        <f t="shared" si="0"/>
        <v>1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0.5</v>
      </c>
      <c r="R13" s="54">
        <f t="shared" si="5"/>
        <v>1.3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>
        <v>0</v>
      </c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IFERROR(VLOOKUP(Clovis!$A23,'Grade Pós'!A:B,2,0),"")</f>
        <v>PROGRAMA</v>
      </c>
      <c r="E23" s="200"/>
      <c r="F23" s="200"/>
      <c r="G23" s="184"/>
      <c r="H23" s="180">
        <v>4</v>
      </c>
      <c r="I23" s="182"/>
      <c r="J23" s="185">
        <v>4</v>
      </c>
      <c r="K23" s="185"/>
      <c r="L23" s="2">
        <f>SUM(H23:I23)</f>
        <v>4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2</v>
      </c>
      <c r="R23" s="54">
        <f t="shared" ref="R23:R32" si="9">IFERROR(_xlfn.IFS($M$32=1,L23,$M$32=2,L23,$M$32=3,(L23*1.3),$M$32&gt;3,(L23*1.5)),0)</f>
        <v>5.2</v>
      </c>
    </row>
    <row r="24" spans="1:22" ht="26.25" customHeight="1" x14ac:dyDescent="0.25">
      <c r="A24" s="180"/>
      <c r="B24" s="181"/>
      <c r="C24" s="182"/>
      <c r="D24" s="183" t="str">
        <f>IFERROR(VLOOKUP(Clovis!$A24,'Grade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IFERROR(VLOOKUP(Clovis!$A25,'Grade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IFERROR(VLOOKUP(Clovis!$A26,'Grade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IFERROR(VLOOKUP(Clovis!$A27,'Grade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IFERROR(VLOOKUP(Clovis!$A28,'Grade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IFERROR(VLOOKUP(Clovis!$A29,'Grade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IFERROR(VLOOKUP(Clovis!$A30,'Grade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IFERROR(VLOOKUP(Clovis!$A31,'Grade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4</v>
      </c>
      <c r="K32" s="99">
        <f>SUM(J12:J31)</f>
        <v>8</v>
      </c>
      <c r="L32" s="4">
        <f>SUM(L12:L31)</f>
        <v>8</v>
      </c>
      <c r="M32" s="5">
        <f>SUM(M12:M31)</f>
        <v>3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4</v>
      </c>
      <c r="R32" s="101">
        <f t="shared" si="9"/>
        <v>10.4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828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0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1</v>
      </c>
    </row>
    <row r="38" spans="1:22" x14ac:dyDescent="0.25">
      <c r="A38" s="180" t="s">
        <v>115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2</v>
      </c>
    </row>
    <row r="39" spans="1:22" x14ac:dyDescent="0.25">
      <c r="A39" s="180" t="s">
        <v>115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2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2</v>
      </c>
    </row>
    <row r="40" spans="1:22" x14ac:dyDescent="0.25">
      <c r="A40" s="180" t="s">
        <v>113</v>
      </c>
      <c r="B40" s="181"/>
      <c r="C40" s="182"/>
      <c r="D40" s="180"/>
      <c r="E40" s="181"/>
      <c r="F40" s="181"/>
      <c r="G40" s="182"/>
      <c r="H40" s="73"/>
      <c r="I40" s="180"/>
      <c r="J40" s="182"/>
      <c r="K40" s="73">
        <v>3</v>
      </c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3</v>
      </c>
    </row>
    <row r="41" spans="1:22" x14ac:dyDescent="0.25">
      <c r="A41" s="180" t="s">
        <v>113</v>
      </c>
      <c r="B41" s="181"/>
      <c r="C41" s="182"/>
      <c r="D41" s="180"/>
      <c r="E41" s="181"/>
      <c r="F41" s="181"/>
      <c r="G41" s="182"/>
      <c r="H41" s="73"/>
      <c r="I41" s="180"/>
      <c r="J41" s="182"/>
      <c r="K41" s="73">
        <v>3</v>
      </c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3</v>
      </c>
    </row>
    <row r="42" spans="1:22" x14ac:dyDescent="0.25">
      <c r="A42" s="180" t="s">
        <v>113</v>
      </c>
      <c r="B42" s="181"/>
      <c r="C42" s="182"/>
      <c r="D42" s="180"/>
      <c r="E42" s="181"/>
      <c r="F42" s="181"/>
      <c r="G42" s="182"/>
      <c r="H42" s="73"/>
      <c r="I42" s="180"/>
      <c r="J42" s="182"/>
      <c r="K42" s="73">
        <v>3</v>
      </c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3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13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14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IFERROR(VLOOKUP(Clovis!$D54,Tabela20[],2,0),0)</f>
        <v>0</v>
      </c>
      <c r="R54" s="54">
        <f>IFERROR(VLOOKUP(Clovis!$D54,Tabela20[],3,0),0)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IFERROR(VLOOKUP(Clovis!$D55,Tabela20[],2,0),0)</f>
        <v>0</v>
      </c>
      <c r="R55" s="54">
        <f>IFERROR(VLOOKUP(Clovis!$D55,Tabela20[],3,0),0)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IFERROR(VLOOKUP(Clovis!$D56,Tabela20[],2,0),0)</f>
        <v>0</v>
      </c>
      <c r="R56" s="54">
        <f>IFERROR(VLOOKUP(Clovis!$D56,Tabela20[],3,0),0)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IFERROR(VLOOKUP(Clovis!$D57,Tabela20[],2,0),0)</f>
        <v>0</v>
      </c>
      <c r="R57" s="54">
        <f>IFERROR(VLOOKUP(Clovis!$D57,Tabela20[],3,0),0)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IFERROR(VLOOKUP(Clovis!$D58,Tabela20[],2,0),0)</f>
        <v>0</v>
      </c>
      <c r="R58" s="54">
        <f>IFERROR(VLOOKUP(Clovis!$D58,Tabela20[],3,0),0)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IFERROR(VLOOKUP(Clovis!$D59,Tabela20[],2,0),0)</f>
        <v>0</v>
      </c>
      <c r="R59" s="54">
        <f>IFERROR(VLOOKUP(Clovis!$D59,Tabela20[],3,0),0)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IFERROR(VLOOKUP(Clovis!$D60,Tabela20[],2,0),0)</f>
        <v>0</v>
      </c>
      <c r="R60" s="54">
        <f>IFERROR(VLOOKUP(Clovis!$D60,Tabela20[],3,0),0)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IFERROR(VLOOKUP(Clovis!$D61,Tabela20[],2,0),0)</f>
        <v>0</v>
      </c>
      <c r="R61" s="54">
        <f>IFERROR(VLOOKUP(Clovis!$D61,Tabela20[],3,0),0)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IFERROR(VLOOKUP(Clovis!$D62,Tabela20[],2,0),0)</f>
        <v>0</v>
      </c>
      <c r="R62" s="54">
        <f>IFERROR(VLOOKUP(Clovis!$D62,Tabela20[],3,0),0)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IFERROR(VLOOKUP(Clovis!$D63,Tabela20[],2,0),0)</f>
        <v>0</v>
      </c>
      <c r="R63" s="54">
        <f>IFERROR(VLOOKUP(Clovis!$D63,Tabela20[],3,0),0)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IFERROR(VLOOKUP(Clovis!$D64,Tabela20[],2,0),0)</f>
        <v>0</v>
      </c>
      <c r="R64" s="114">
        <f>IFERROR(VLOOKUP(Clovis!$D64,Tabela20[],3,0),0)</f>
        <v>0</v>
      </c>
    </row>
    <row r="65" spans="1:23" s="89" customFormat="1" hidden="1" x14ac:dyDescent="0.25">
      <c r="A65" s="89" t="s">
        <v>756</v>
      </c>
      <c r="F65" s="124">
        <f>SUM(Clovis!$F$54:$F$64)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793</v>
      </c>
      <c r="E70" s="182"/>
      <c r="F70" s="73">
        <v>1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IFERROR(VLOOKUP(Clovis!$D70,Tabela11[],2),0)</f>
        <v>0</v>
      </c>
      <c r="R70" s="54">
        <f>IFERROR(VLOOKUP(Clovis!$D70,Tabela11[],3),0)</f>
        <v>2</v>
      </c>
    </row>
    <row r="71" spans="1:23" ht="15" customHeight="1" x14ac:dyDescent="0.25">
      <c r="A71" s="180"/>
      <c r="B71" s="181"/>
      <c r="C71" s="182"/>
      <c r="D71" s="180" t="s">
        <v>793</v>
      </c>
      <c r="E71" s="182"/>
      <c r="F71" s="73">
        <v>1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IFERROR(VLOOKUP(Clovis!$D71,Tabela11[],2),0)</f>
        <v>0</v>
      </c>
      <c r="R71" s="54">
        <f>IFERROR(VLOOKUP(Clovis!$D71,Tabela11[],3),0)</f>
        <v>2</v>
      </c>
    </row>
    <row r="72" spans="1:23" x14ac:dyDescent="0.25">
      <c r="A72" s="180"/>
      <c r="B72" s="181"/>
      <c r="C72" s="182"/>
      <c r="D72" s="180" t="s">
        <v>791</v>
      </c>
      <c r="E72" s="182"/>
      <c r="F72" s="73">
        <v>6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IFERROR(VLOOKUP(Clovis!$D72,Tabela11[],2),0)</f>
        <v>0</v>
      </c>
      <c r="R72" s="54">
        <f>IFERROR(VLOOKUP(Clovis!$D72,Tabela11[],3),0)</f>
        <v>6</v>
      </c>
    </row>
    <row r="73" spans="1:23" x14ac:dyDescent="0.25">
      <c r="A73" s="180"/>
      <c r="B73" s="181"/>
      <c r="C73" s="182"/>
      <c r="D73" s="180" t="s">
        <v>791</v>
      </c>
      <c r="E73" s="182"/>
      <c r="F73" s="73">
        <v>6</v>
      </c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IFERROR(VLOOKUP(Clovis!$D73,Tabela11[],2),0)</f>
        <v>0</v>
      </c>
      <c r="R73" s="54">
        <f>IFERROR(VLOOKUP(Clovis!$D73,Tabela11[],3),0)</f>
        <v>6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IFERROR(VLOOKUP(Clovis!$D74,Tabela11[],2),0)</f>
        <v>0</v>
      </c>
      <c r="R74" s="54">
        <f>IFERROR(VLOOKUP(Clovis!$D74,Tabela11[],3),0)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IFERROR(VLOOKUP(Clovis!$D75,Tabela11[],2),0)</f>
        <v>0</v>
      </c>
      <c r="R75" s="54">
        <f>IFERROR(VLOOKUP(Clovis!$D75,Tabela11[],3),0)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IFERROR(VLOOKUP(Clovis!$D76,Tabela11[],2),0)</f>
        <v>0</v>
      </c>
      <c r="R76" s="54">
        <f>IFERROR(VLOOKUP(Clovis!$D76,Tabela11[],3),0)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IFERROR(VLOOKUP(Clovis!$D77,Tabela11[],2),0)</f>
        <v>0</v>
      </c>
      <c r="R77" s="54">
        <f>IFERROR(VLOOKUP(Clovis!$D77,Tabela11[],3),0)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IFERROR(VLOOKUP(Clovis!$D78,Tabela11[],2),0)</f>
        <v>0</v>
      </c>
      <c r="R78" s="54">
        <f>IFERROR(VLOOKUP(Clovis!$D78,Tabela11[],3),0)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IFERROR(VLOOKUP(Clovis!$D79,Tabela11[],2),0)</f>
        <v>0</v>
      </c>
      <c r="R79" s="54">
        <f>IFERROR(VLOOKUP(Clovis!$D79,Tabela11[],3),0)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IFERROR(VLOOKUP(Clovis!$D80,Tabela11[],2),0)</f>
        <v>0</v>
      </c>
      <c r="R80" s="114">
        <f>IFERROR(VLOOKUP(Clovis!$D80,Tabela11[],3),0)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14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>
        <v>2</v>
      </c>
      <c r="G85" s="180"/>
      <c r="H85" s="182"/>
      <c r="I85" s="180"/>
      <c r="J85" s="182"/>
      <c r="K85" s="6"/>
      <c r="L85" s="121"/>
      <c r="M85" s="121"/>
      <c r="N85" s="122"/>
      <c r="O85" s="52">
        <f>IFERROR(VLOOKUP(Clovis!$D85,Tabela21[],2,0),0)</f>
        <v>0</v>
      </c>
      <c r="P85" s="54">
        <f>IFERROR(VLOOKUP(Clovis!$D85,Tabela21[],3,0),0)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IFERROR(VLOOKUP(Clovis!$D86,Tabela21[],2,0),0)</f>
        <v>0</v>
      </c>
      <c r="P86" s="54">
        <f>IFERROR(VLOOKUP(Clovis!$D86,Tabela21[],3,0),0)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IFERROR(VLOOKUP(Clovis!$D87,Tabela21[],2,0),0)</f>
        <v>0</v>
      </c>
      <c r="P87" s="54">
        <f>IFERROR(VLOOKUP(Clovis!$D87,Tabela21[],3,0),0)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IFERROR(VLOOKUP(Clovis!$D88,Tabela21[],2,0),0)</f>
        <v>0</v>
      </c>
      <c r="P88" s="54">
        <f>IFERROR(VLOOKUP(Clovis!$D88,Tabela21[],3,0),0)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IFERROR(VLOOKUP(Clovis!$D89,Tabela21[],2,0),0)</f>
        <v>0</v>
      </c>
      <c r="P89" s="54">
        <f>IFERROR(VLOOKUP(Clovis!$D89,Tabela21[],3,0),0)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IFERROR(VLOOKUP(Clovis!$D90,Tabela21[],2,0),0)</f>
        <v>0</v>
      </c>
      <c r="P90" s="54">
        <f>IFERROR(VLOOKUP(Clovis!$D90,Tabela21[],3,0),0)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IFERROR(VLOOKUP(Clovis!$D91,Tabela21[],2,0),0)</f>
        <v>0</v>
      </c>
      <c r="P91" s="54">
        <f>IFERROR(VLOOKUP(Clovis!$D91,Tabela21[],3,0),0)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IFERROR(VLOOKUP(Clovis!$D92,Tabela21[],2,0),0)</f>
        <v>0</v>
      </c>
      <c r="P92" s="54">
        <f>IFERROR(VLOOKUP(Clovis!$D92,Tabela21[],3,0),0)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IFERROR(VLOOKUP(Clovis!$D93,Tabela21[],2,0),0)</f>
        <v>0</v>
      </c>
      <c r="P93" s="54">
        <f>IFERROR(VLOOKUP(Clovis!$D93,Tabela21[],3,0),0)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IFERROR(VLOOKUP(Clovis!$D94,Tabela21[],2,0),0)</f>
        <v>0</v>
      </c>
      <c r="P94" s="54">
        <f>IFERROR(VLOOKUP(Clovis!$D94,Tabela21[],3,0),0)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IFERROR(VLOOKUP(Clovis!$D95,Tabela21[],2,0),0)</f>
        <v>0</v>
      </c>
      <c r="P95" s="54">
        <f>IFERROR(VLOOKUP(Clovis!$D95,Tabela21[],3,0),0)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IFERROR(VLOOKUP(Clovis!$D96,Tabela21[],2,0),0)</f>
        <v>0</v>
      </c>
      <c r="P96" s="54">
        <f>IFERROR(VLOOKUP(Clovis!$D96,Tabela21[],3,0),0)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2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IFERROR(VLOOKUP(Clovis!$D97,Tabela21[],2,0),0)</f>
        <v>0</v>
      </c>
      <c r="P97" s="136">
        <f>IFERROR(VLOOKUP(Clovis!$D97,Tabela21[],3,0),0)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807</v>
      </c>
      <c r="B101" s="181"/>
      <c r="C101" s="182"/>
      <c r="D101" s="180"/>
      <c r="E101" s="182"/>
      <c r="F101" s="73">
        <v>2</v>
      </c>
      <c r="G101" s="180"/>
      <c r="H101" s="182"/>
      <c r="I101" s="218"/>
      <c r="J101" s="219"/>
      <c r="K101" s="75"/>
      <c r="L101" s="2">
        <f>IFERROR(VLOOKUP(Clovis!$A101,TFunçõesAdm[],3,0),40)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 t="s">
        <v>804</v>
      </c>
      <c r="B102" s="181"/>
      <c r="C102" s="182"/>
      <c r="D102" s="180"/>
      <c r="E102" s="182"/>
      <c r="F102" s="73">
        <v>5</v>
      </c>
      <c r="G102" s="180"/>
      <c r="H102" s="182"/>
      <c r="I102" s="218"/>
      <c r="J102" s="219"/>
      <c r="K102" s="75"/>
      <c r="L102" s="2">
        <f>IFERROR(VLOOKUP(Clovis!$A102,TFunçõesAdm[],3,0),40)</f>
        <v>35</v>
      </c>
      <c r="M102" s="3"/>
      <c r="N102" s="95"/>
      <c r="O102" s="95"/>
      <c r="P102" s="95"/>
      <c r="Q102" s="52">
        <v>0</v>
      </c>
      <c r="R102" s="54">
        <f>IFERROR(VLOOKUP(A102,TFunçõesAdm[],2,FALSE),0)</f>
        <v>5</v>
      </c>
    </row>
    <row r="103" spans="1:22" ht="24" customHeight="1" x14ac:dyDescent="0.25">
      <c r="A103" s="180" t="s">
        <v>807</v>
      </c>
      <c r="B103" s="181"/>
      <c r="C103" s="182"/>
      <c r="D103" s="180"/>
      <c r="E103" s="182"/>
      <c r="F103" s="73">
        <v>2</v>
      </c>
      <c r="G103" s="180"/>
      <c r="H103" s="182"/>
      <c r="I103" s="218"/>
      <c r="J103" s="219"/>
      <c r="K103" s="75"/>
      <c r="L103" s="2">
        <f>IFERROR(VLOOKUP(Clovis!$A103,TFunçõesAdm[],3,0),40)</f>
        <v>35</v>
      </c>
      <c r="M103" s="3"/>
      <c r="N103" s="95"/>
      <c r="O103" s="95"/>
      <c r="P103" s="95"/>
      <c r="Q103" s="52">
        <v>0</v>
      </c>
      <c r="R103" s="54">
        <f>IFERROR(VLOOKUP(A103,TFunçõesAdm[],2,FALSE),0)</f>
        <v>5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IFERROR(VLOOKUP(Clovis!$A104,TFunçõesAdm[],3,0),40)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IFERROR(VLOOKUP(Clovis!$A105,TFunçõesAdm[],3,0),40)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IFERROR(VLOOKUP(Clovis!$A106,TFunçõesAdm[],3,0),40)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IFERROR(VLOOKUP(Clovis!$A107,TFunçõesAdm[],3,0),40)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IFERROR(VLOOKUP(Clovis!$A108,TFunçõesAdm[],3,0),40)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IFERROR(VLOOKUP(Clovis!$A109,TFunçõesAdm[],3,0),40)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IFERROR(VLOOKUP(Clovis!$A110,TFunçõesAdm[],3,0),40)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IFERROR(VLOOKUP(Clovis!$A111,TFunçõesAdm[],3,0),40)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IFERROR(VLOOKUP(Clovis!$A112,TFunçõesAdm[],3,0),40)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9</v>
      </c>
      <c r="G113" s="124"/>
      <c r="H113" s="89"/>
      <c r="I113" s="124"/>
      <c r="J113" s="124"/>
      <c r="K113" s="89"/>
      <c r="L113" s="104">
        <f>MIN(Clovis!$L$101:$L$112)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SUM(Clovis!$F$123:$F$124)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8</v>
      </c>
      <c r="B134" s="143">
        <f>K32</f>
        <v>8</v>
      </c>
      <c r="C134" s="143">
        <f>K50</f>
        <v>13</v>
      </c>
      <c r="D134" s="143">
        <f>F65</f>
        <v>0</v>
      </c>
      <c r="E134" s="143">
        <f>F81</f>
        <v>14</v>
      </c>
      <c r="F134" s="143">
        <f>F97</f>
        <v>2</v>
      </c>
      <c r="G134" s="143">
        <f>F113</f>
        <v>9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54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 xml:space="preserve">Luiz Cláudio Miletti 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 xml:space="preserve">Clóvis Eliseu Gewehr 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4</v>
      </c>
      <c r="G148" s="71">
        <f>SUM(H23:I31)</f>
        <v>4</v>
      </c>
      <c r="H148" s="71">
        <f>B134</f>
        <v>8</v>
      </c>
      <c r="I148" s="71">
        <f>C134</f>
        <v>13</v>
      </c>
      <c r="J148" s="71">
        <f>E134</f>
        <v>14</v>
      </c>
      <c r="K148" s="71">
        <f>F134</f>
        <v>2</v>
      </c>
      <c r="Q148" s="71">
        <v>0</v>
      </c>
      <c r="R148" s="71">
        <f>D134</f>
        <v>0</v>
      </c>
      <c r="S148" s="71">
        <f>G134</f>
        <v>9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54</v>
      </c>
    </row>
  </sheetData>
  <sheetProtection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612" priority="26">
      <formula>se+$A$134&lt;$L$35</formula>
    </cfRule>
    <cfRule type="cellIs" dxfId="611" priority="25" operator="lessThan">
      <formula>M35</formula>
    </cfRule>
  </conditionalFormatting>
  <conditionalFormatting sqref="B134">
    <cfRule type="expression" dxfId="610" priority="35">
      <formula>P32=1</formula>
    </cfRule>
  </conditionalFormatting>
  <conditionalFormatting sqref="E134">
    <cfRule type="expression" dxfId="609" priority="20">
      <formula>($E$134&gt;$L$68)</formula>
    </cfRule>
  </conditionalFormatting>
  <conditionalFormatting sqref="F54:F64">
    <cfRule type="cellIs" dxfId="608" priority="18" operator="greaterThan">
      <formula>R54</formula>
    </cfRule>
  </conditionalFormatting>
  <conditionalFormatting sqref="F101:F112">
    <cfRule type="cellIs" dxfId="607" priority="3" operator="notBetween">
      <formula>Q101</formula>
      <formula>R101</formula>
    </cfRule>
  </conditionalFormatting>
  <conditionalFormatting sqref="F70:G80">
    <cfRule type="cellIs" dxfId="606" priority="2" operator="notBetween">
      <formula>Q70</formula>
      <formula>R70</formula>
    </cfRule>
  </conditionalFormatting>
  <conditionalFormatting sqref="J12:J21">
    <cfRule type="expression" dxfId="605" priority="9">
      <formula>P12=1</formula>
    </cfRule>
  </conditionalFormatting>
  <conditionalFormatting sqref="J23:J31">
    <cfRule type="expression" dxfId="604" priority="1">
      <formula>P23=1</formula>
    </cfRule>
  </conditionalFormatting>
  <conditionalFormatting sqref="K37:K49">
    <cfRule type="expression" dxfId="603" priority="27">
      <formula>(K37&gt;R37)</formula>
    </cfRule>
  </conditionalFormatting>
  <conditionalFormatting sqref="K134">
    <cfRule type="cellIs" dxfId="602" priority="33" operator="notEqual">
      <formula>40</formula>
    </cfRule>
  </conditionalFormatting>
  <conditionalFormatting sqref="O85:P91">
    <cfRule type="expression" dxfId="601" priority="47">
      <formula>T82=1</formula>
    </cfRule>
  </conditionalFormatting>
  <conditionalFormatting sqref="O92:P92">
    <cfRule type="expression" dxfId="600" priority="54">
      <formula>T84=1</formula>
    </cfRule>
  </conditionalFormatting>
  <conditionalFormatting sqref="O93:P93">
    <cfRule type="expression" dxfId="599" priority="49">
      <formula>T84=1</formula>
    </cfRule>
  </conditionalFormatting>
  <conditionalFormatting sqref="O94:P94">
    <cfRule type="expression" dxfId="598" priority="48">
      <formula>T84=1</formula>
    </cfRule>
  </conditionalFormatting>
  <conditionalFormatting sqref="O95:P95">
    <cfRule type="expression" dxfId="597" priority="38">
      <formula>T84=1</formula>
    </cfRule>
  </conditionalFormatting>
  <conditionalFormatting sqref="O96:P96">
    <cfRule type="expression" dxfId="596" priority="21">
      <formula>T83=1</formula>
    </cfRule>
  </conditionalFormatting>
  <conditionalFormatting sqref="Q78:Q79">
    <cfRule type="expression" dxfId="595" priority="51">
      <formula>T68=1</formula>
    </cfRule>
  </conditionalFormatting>
  <conditionalFormatting sqref="Q80">
    <cfRule type="expression" dxfId="594" priority="43">
      <formula>S69=1</formula>
    </cfRule>
  </conditionalFormatting>
  <conditionalFormatting sqref="Q81">
    <cfRule type="expression" dxfId="593" priority="42">
      <formula>S69=1</formula>
    </cfRule>
  </conditionalFormatting>
  <conditionalFormatting sqref="Q37:R44">
    <cfRule type="expression" dxfId="592" priority="30">
      <formula>T34=1</formula>
    </cfRule>
  </conditionalFormatting>
  <conditionalFormatting sqref="Q45:R45">
    <cfRule type="expression" dxfId="591" priority="44">
      <formula>T37=1</formula>
    </cfRule>
  </conditionalFormatting>
  <conditionalFormatting sqref="Q46:R46">
    <cfRule type="expression" dxfId="590" priority="22">
      <formula>T37=1</formula>
    </cfRule>
  </conditionalFormatting>
  <conditionalFormatting sqref="Q47:R49">
    <cfRule type="expression" dxfId="589" priority="28">
      <formula>T37=1</formula>
    </cfRule>
  </conditionalFormatting>
  <conditionalFormatting sqref="Q54:R57">
    <cfRule type="expression" dxfId="588" priority="31">
      <formula>T51=1</formula>
    </cfRule>
  </conditionalFormatting>
  <conditionalFormatting sqref="Q58:R63">
    <cfRule type="expression" dxfId="587" priority="23">
      <formula>T52=1</formula>
    </cfRule>
  </conditionalFormatting>
  <conditionalFormatting sqref="Q64:R64">
    <cfRule type="expression" dxfId="586" priority="50">
      <formula>T53=1</formula>
    </cfRule>
  </conditionalFormatting>
  <conditionalFormatting sqref="Q70:R76">
    <cfRule type="expression" dxfId="585" priority="36">
      <formula>T66=1</formula>
    </cfRule>
  </conditionalFormatting>
  <conditionalFormatting sqref="Q77:R77">
    <cfRule type="expression" dxfId="584" priority="29">
      <formula>T68=1</formula>
    </cfRule>
  </conditionalFormatting>
  <conditionalFormatting sqref="Q101:R106 Q107:Q112 R109">
    <cfRule type="expression" dxfId="583" priority="39">
      <formula>T99=1</formula>
    </cfRule>
  </conditionalFormatting>
  <conditionalFormatting sqref="Q113:R113">
    <cfRule type="expression" dxfId="582" priority="34">
      <formula>#REF!=1</formula>
    </cfRule>
  </conditionalFormatting>
  <conditionalFormatting sqref="R78:R79">
    <cfRule type="expression" dxfId="581" priority="46">
      <formula>U67=1</formula>
    </cfRule>
  </conditionalFormatting>
  <conditionalFormatting sqref="R80">
    <cfRule type="expression" dxfId="580" priority="52">
      <formula>U67=1</formula>
    </cfRule>
  </conditionalFormatting>
  <conditionalFormatting sqref="R81">
    <cfRule type="expression" dxfId="579" priority="53">
      <formula>U69=1</formula>
    </cfRule>
  </conditionalFormatting>
  <conditionalFormatting sqref="R107:R108">
    <cfRule type="expression" dxfId="578" priority="55">
      <formula>U101=1</formula>
    </cfRule>
  </conditionalFormatting>
  <conditionalFormatting sqref="R110:R112">
    <cfRule type="expression" dxfId="577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42E8212B-7F9D-49A4-934F-2E4C3E27C8AE}">
          <x14:formula1>
            <xm:f>Dados!$A$38:$A$39</xm:f>
          </x14:formula1>
          <xm:sqref>H35</xm:sqref>
        </x14:dataValidation>
        <x14:dataValidation type="list" allowBlank="1" showInputMessage="1" showErrorMessage="1" xr:uid="{0A7BAECC-716E-4DCF-B083-06DBAAB254AD}">
          <x14:formula1>
            <xm:f>Dados!$A$85:$A$90</xm:f>
          </x14:formula1>
          <xm:sqref>A37:A49</xm:sqref>
        </x14:dataValidation>
        <x14:dataValidation type="list" allowBlank="1" showInputMessage="1" showErrorMessage="1" xr:uid="{D2558E78-344E-4848-B6BE-FD26C923CAE4}">
          <x14:formula1>
            <xm:f>Dados!$A$95:$A$99</xm:f>
          </x14:formula1>
          <xm:sqref>D68</xm:sqref>
        </x14:dataValidation>
        <x14:dataValidation type="list" allowBlank="1" showInputMessage="1" showErrorMessage="1" xr:uid="{B7A7C41B-787C-4749-A4E5-FA45C5966E4C}">
          <x14:formula1>
            <xm:f>Dados!$A$44:$A$78</xm:f>
          </x14:formula1>
          <xm:sqref>A101:A112</xm:sqref>
        </x14:dataValidation>
        <x14:dataValidation type="list" allowBlank="1" showInputMessage="1" showErrorMessage="1" xr:uid="{F3567B87-7ABD-4C40-BBF0-16666E39C4B7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B2980F58-E631-49A4-AB95-647B9CB2DFB6}">
          <x14:formula1>
            <xm:f>Dados!$A$108:$A$109</xm:f>
          </x14:formula1>
          <xm:sqref>D54:D64</xm:sqref>
        </x14:dataValidation>
        <x14:dataValidation type="list" allowBlank="1" showInputMessage="1" showErrorMessage="1" xr:uid="{22D18153-90D5-4D4B-9052-E7E07F4553D2}">
          <x14:formula1>
            <xm:f>Profs!$A:$A</xm:f>
          </x14:formula1>
          <xm:sqref>A5</xm:sqref>
        </x14:dataValidation>
        <x14:dataValidation type="list" allowBlank="1" showInputMessage="1" showErrorMessage="1" xr:uid="{974FF94E-D6C9-4BD5-AC40-79B8493ECFF1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7A715283-849F-4D97-B118-D46116BA6D97}">
          <x14:formula1>
            <xm:f>'Grade Pós'!$A:$A</xm:f>
          </x14:formula1>
          <xm:sqref>A23:A31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43A8-0983-4496-A6FC-C6B038531A08}">
  <sheetPr>
    <pageSetUpPr fitToPage="1"/>
  </sheetPr>
  <dimension ref="A1:W148"/>
  <sheetViews>
    <sheetView showGridLines="0" topLeftCell="A46" zoomScale="64" zoomScaleNormal="64" workbookViewId="0">
      <selection activeCell="F102" sqref="F102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411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677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4ª</v>
      </c>
      <c r="G12" s="184"/>
      <c r="H12" s="73">
        <v>3</v>
      </c>
      <c r="I12" s="73">
        <v>0</v>
      </c>
      <c r="J12" s="180">
        <v>3</v>
      </c>
      <c r="K12" s="181"/>
      <c r="L12" s="2">
        <f t="shared" ref="L12:L21" si="0">SUM(H12:I12)</f>
        <v>3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1.5</v>
      </c>
      <c r="R12" s="54">
        <f t="shared" ref="R12:R21" si="5">IFERROR(_xlfn.IFS($M$32=1,L12,$M$32=2,L12,$M$32=3,(L12*1.3),$M$32&gt;3,(L12*1.5)),0)</f>
        <v>3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IFERROR(VLOOKUP(Cristiano!$A23,'Grade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IFERROR(VLOOKUP(Cristiano!$A24,'Grade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IFERROR(VLOOKUP(Cristiano!$A25,'Grade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IFERROR(VLOOKUP(Cristiano!$A26,'Grade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IFERROR(VLOOKUP(Cristiano!$A27,'Grade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IFERROR(VLOOKUP(Cristiano!$A28,'Grade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IFERROR(VLOOKUP(Cristiano!$A29,'Grade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IFERROR(VLOOKUP(Cristiano!$A30,'Grade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IFERROR(VLOOKUP(Cristiano!$A31,'Grade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3</v>
      </c>
      <c r="K32" s="99">
        <f>SUM(J12:J31)</f>
        <v>3</v>
      </c>
      <c r="L32" s="4">
        <f>SUM(L12:L31)</f>
        <v>3</v>
      </c>
      <c r="M32" s="5">
        <f>SUM(M12:M31)</f>
        <v>1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1.5</v>
      </c>
      <c r="R32" s="101">
        <f t="shared" si="9"/>
        <v>3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4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115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1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2</v>
      </c>
    </row>
    <row r="38" spans="1:22" x14ac:dyDescent="0.25">
      <c r="A38" s="180" t="s">
        <v>113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3</v>
      </c>
    </row>
    <row r="39" spans="1:22" x14ac:dyDescent="0.25">
      <c r="A39" s="180" t="s">
        <v>113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2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3</v>
      </c>
    </row>
    <row r="40" spans="1:22" x14ac:dyDescent="0.25">
      <c r="A40" s="180" t="s">
        <v>113</v>
      </c>
      <c r="B40" s="181"/>
      <c r="C40" s="182"/>
      <c r="D40" s="180"/>
      <c r="E40" s="181"/>
      <c r="F40" s="181"/>
      <c r="G40" s="182"/>
      <c r="H40" s="73"/>
      <c r="I40" s="180"/>
      <c r="J40" s="182"/>
      <c r="K40" s="73">
        <v>2</v>
      </c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3</v>
      </c>
    </row>
    <row r="41" spans="1:22" x14ac:dyDescent="0.25">
      <c r="A41" s="180" t="s">
        <v>113</v>
      </c>
      <c r="B41" s="181"/>
      <c r="C41" s="182"/>
      <c r="D41" s="180"/>
      <c r="E41" s="181"/>
      <c r="F41" s="181"/>
      <c r="G41" s="182"/>
      <c r="H41" s="73"/>
      <c r="I41" s="180"/>
      <c r="J41" s="182"/>
      <c r="K41" s="73">
        <v>2</v>
      </c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3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9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14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IFERROR(VLOOKUP(Cristiano!$D54,Tabela20[],2,0),0)</f>
        <v>0</v>
      </c>
      <c r="R54" s="54">
        <f>IFERROR(VLOOKUP(Cristiano!$D54,Tabela20[],3,0),0)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IFERROR(VLOOKUP(Cristiano!$D55,Tabela20[],2,0),0)</f>
        <v>0</v>
      </c>
      <c r="R55" s="54">
        <f>IFERROR(VLOOKUP(Cristiano!$D55,Tabela20[],3,0),0)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IFERROR(VLOOKUP(Cristiano!$D56,Tabela20[],2,0),0)</f>
        <v>0</v>
      </c>
      <c r="R56" s="54">
        <f>IFERROR(VLOOKUP(Cristiano!$D56,Tabela20[],3,0),0)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IFERROR(VLOOKUP(Cristiano!$D57,Tabela20[],2,0),0)</f>
        <v>0</v>
      </c>
      <c r="R57" s="54">
        <f>IFERROR(VLOOKUP(Cristiano!$D57,Tabela20[],3,0),0)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IFERROR(VLOOKUP(Cristiano!$D58,Tabela20[],2,0),0)</f>
        <v>0</v>
      </c>
      <c r="R58" s="54">
        <f>IFERROR(VLOOKUP(Cristiano!$D58,Tabela20[],3,0),0)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IFERROR(VLOOKUP(Cristiano!$D59,Tabela20[],2,0),0)</f>
        <v>0</v>
      </c>
      <c r="R59" s="54">
        <f>IFERROR(VLOOKUP(Cristiano!$D59,Tabela20[],3,0),0)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IFERROR(VLOOKUP(Cristiano!$D60,Tabela20[],2,0),0)</f>
        <v>0</v>
      </c>
      <c r="R60" s="54">
        <f>IFERROR(VLOOKUP(Cristiano!$D60,Tabela20[],3,0),0)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IFERROR(VLOOKUP(Cristiano!$D61,Tabela20[],2,0),0)</f>
        <v>0</v>
      </c>
      <c r="R61" s="54">
        <f>IFERROR(VLOOKUP(Cristiano!$D61,Tabela20[],3,0),0)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IFERROR(VLOOKUP(Cristiano!$D62,Tabela20[],2,0),0)</f>
        <v>0</v>
      </c>
      <c r="R62" s="54">
        <f>IFERROR(VLOOKUP(Cristiano!$D62,Tabela20[],3,0),0)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IFERROR(VLOOKUP(Cristiano!$D63,Tabela20[],2,0),0)</f>
        <v>0</v>
      </c>
      <c r="R63" s="54">
        <f>IFERROR(VLOOKUP(Cristiano!$D63,Tabela20[],3,0),0)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IFERROR(VLOOKUP(Cristiano!$D64,Tabela20[],2,0),0)</f>
        <v>0</v>
      </c>
      <c r="R64" s="114">
        <f>IFERROR(VLOOKUP(Cristiano!$D64,Tabela20[],3,0),0)</f>
        <v>0</v>
      </c>
    </row>
    <row r="65" spans="1:23" s="89" customFormat="1" hidden="1" x14ac:dyDescent="0.25">
      <c r="A65" s="89" t="s">
        <v>756</v>
      </c>
      <c r="F65" s="124">
        <f>SUM(Cristiano!$F$54:$F$64)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6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IFERROR(VLOOKUP(Cristiano!$D70,Tabela11[],2),0)</f>
        <v>0</v>
      </c>
      <c r="R70" s="54">
        <f>IFERROR(VLOOKUP(Cristiano!$D70,Tabela11[],3),0)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6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IFERROR(VLOOKUP(Cristiano!$D71,Tabela11[],2),0)</f>
        <v>0</v>
      </c>
      <c r="R71" s="54">
        <f>IFERROR(VLOOKUP(Cristiano!$D71,Tabela11[],3),0)</f>
        <v>6</v>
      </c>
    </row>
    <row r="72" spans="1:23" x14ac:dyDescent="0.25">
      <c r="A72" s="180"/>
      <c r="B72" s="181"/>
      <c r="C72" s="182"/>
      <c r="D72" s="180" t="s">
        <v>791</v>
      </c>
      <c r="E72" s="182"/>
      <c r="F72" s="73">
        <v>6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IFERROR(VLOOKUP(Cristiano!$D72,Tabela11[],2),0)</f>
        <v>0</v>
      </c>
      <c r="R72" s="54">
        <f>IFERROR(VLOOKUP(Cristiano!$D72,Tabela11[],3),0)</f>
        <v>6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IFERROR(VLOOKUP(Cristiano!$D73,Tabela11[],2),0)</f>
        <v>0</v>
      </c>
      <c r="R73" s="54">
        <f>IFERROR(VLOOKUP(Cristiano!$D73,Tabela11[],3),0)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IFERROR(VLOOKUP(Cristiano!$D74,Tabela11[],2),0)</f>
        <v>0</v>
      </c>
      <c r="R74" s="54">
        <f>IFERROR(VLOOKUP(Cristiano!$D74,Tabela11[],3),0)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IFERROR(VLOOKUP(Cristiano!$D75,Tabela11[],2),0)</f>
        <v>0</v>
      </c>
      <c r="R75" s="54">
        <f>IFERROR(VLOOKUP(Cristiano!$D75,Tabela11[],3),0)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IFERROR(VLOOKUP(Cristiano!$D76,Tabela11[],2),0)</f>
        <v>0</v>
      </c>
      <c r="R76" s="54">
        <f>IFERROR(VLOOKUP(Cristiano!$D76,Tabela11[],3),0)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IFERROR(VLOOKUP(Cristiano!$D77,Tabela11[],2),0)</f>
        <v>0</v>
      </c>
      <c r="R77" s="54">
        <f>IFERROR(VLOOKUP(Cristiano!$D77,Tabela11[],3),0)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IFERROR(VLOOKUP(Cristiano!$D78,Tabela11[],2),0)</f>
        <v>0</v>
      </c>
      <c r="R78" s="54">
        <f>IFERROR(VLOOKUP(Cristiano!$D78,Tabela11[],3),0)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IFERROR(VLOOKUP(Cristiano!$D79,Tabela11[],2),0)</f>
        <v>0</v>
      </c>
      <c r="R79" s="54">
        <f>IFERROR(VLOOKUP(Cristiano!$D79,Tabela11[],3),0)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IFERROR(VLOOKUP(Cristiano!$D80,Tabela11[],2),0)</f>
        <v>0</v>
      </c>
      <c r="R80" s="114">
        <f>IFERROR(VLOOKUP(Cristiano!$D80,Tabela11[],3),0)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18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IFERROR(VLOOKUP(Cristiano!$D85,Tabela21[],2,0),0)</f>
        <v>0</v>
      </c>
      <c r="P85" s="54">
        <f>IFERROR(VLOOKUP(Cristiano!$D85,Tabela21[],3,0),0)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IFERROR(VLOOKUP(Cristiano!$D86,Tabela21[],2,0),0)</f>
        <v>0</v>
      </c>
      <c r="P86" s="54">
        <f>IFERROR(VLOOKUP(Cristiano!$D86,Tabela21[],3,0),0)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IFERROR(VLOOKUP(Cristiano!$D87,Tabela21[],2,0),0)</f>
        <v>0</v>
      </c>
      <c r="P87" s="54">
        <f>IFERROR(VLOOKUP(Cristiano!$D87,Tabela21[],3,0),0)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IFERROR(VLOOKUP(Cristiano!$D88,Tabela21[],2,0),0)</f>
        <v>0</v>
      </c>
      <c r="P88" s="54">
        <f>IFERROR(VLOOKUP(Cristiano!$D88,Tabela21[],3,0),0)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IFERROR(VLOOKUP(Cristiano!$D89,Tabela21[],2,0),0)</f>
        <v>0</v>
      </c>
      <c r="P89" s="54">
        <f>IFERROR(VLOOKUP(Cristiano!$D89,Tabela21[],3,0),0)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IFERROR(VLOOKUP(Cristiano!$D90,Tabela21[],2,0),0)</f>
        <v>0</v>
      </c>
      <c r="P90" s="54">
        <f>IFERROR(VLOOKUP(Cristiano!$D90,Tabela21[],3,0),0)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IFERROR(VLOOKUP(Cristiano!$D91,Tabela21[],2,0),0)</f>
        <v>0</v>
      </c>
      <c r="P91" s="54">
        <f>IFERROR(VLOOKUP(Cristiano!$D91,Tabela21[],3,0),0)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IFERROR(VLOOKUP(Cristiano!$D92,Tabela21[],2,0),0)</f>
        <v>0</v>
      </c>
      <c r="P92" s="54">
        <f>IFERROR(VLOOKUP(Cristiano!$D92,Tabela21[],3,0),0)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IFERROR(VLOOKUP(Cristiano!$D93,Tabela21[],2,0),0)</f>
        <v>0</v>
      </c>
      <c r="P93" s="54">
        <f>IFERROR(VLOOKUP(Cristiano!$D93,Tabela21[],3,0),0)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IFERROR(VLOOKUP(Cristiano!$D94,Tabela21[],2,0),0)</f>
        <v>0</v>
      </c>
      <c r="P94" s="54">
        <f>IFERROR(VLOOKUP(Cristiano!$D94,Tabela21[],3,0),0)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IFERROR(VLOOKUP(Cristiano!$D95,Tabela21[],2,0),0)</f>
        <v>0</v>
      </c>
      <c r="P95" s="54">
        <f>IFERROR(VLOOKUP(Cristiano!$D95,Tabela21[],3,0),0)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IFERROR(VLOOKUP(Cristiano!$D96,Tabela21[],2,0),0)</f>
        <v>0</v>
      </c>
      <c r="P96" s="54">
        <f>IFERROR(VLOOKUP(Cristiano!$D96,Tabela21[],3,0),0)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IFERROR(VLOOKUP(Cristiano!$D97,Tabela21[],2,0),0)</f>
        <v>0</v>
      </c>
      <c r="P97" s="136">
        <f>IFERROR(VLOOKUP(Cristiano!$D97,Tabela21[],3,0),0)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824</v>
      </c>
      <c r="B101" s="181"/>
      <c r="C101" s="182"/>
      <c r="D101" s="180"/>
      <c r="E101" s="182"/>
      <c r="F101" s="73">
        <v>25</v>
      </c>
      <c r="G101" s="180"/>
      <c r="H101" s="182"/>
      <c r="I101" s="218"/>
      <c r="J101" s="219"/>
      <c r="K101" s="75"/>
      <c r="L101" s="2">
        <f>IFERROR(VLOOKUP(Cristiano!$A101,TFunçõesAdm[],3,0),40)</f>
        <v>4</v>
      </c>
      <c r="M101" s="3"/>
      <c r="N101" s="95"/>
      <c r="O101" s="95"/>
      <c r="P101" s="95"/>
      <c r="Q101" s="52">
        <v>0</v>
      </c>
      <c r="R101" s="54">
        <f>IFERROR(VLOOKUP(A101,TFunçõesAdm[],2,FALSE),0)</f>
        <v>32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IFERROR(VLOOKUP(Cristiano!$A102,TFunçõesAdm[],3,0),40)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IFERROR(VLOOKUP(Cristiano!$A103,TFunçõesAdm[],3,0),40)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IFERROR(VLOOKUP(Cristiano!$A104,TFunçõesAdm[],3,0),40)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IFERROR(VLOOKUP(Cristiano!$A105,TFunçõesAdm[],3,0),40)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IFERROR(VLOOKUP(Cristiano!$A106,TFunçõesAdm[],3,0),40)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IFERROR(VLOOKUP(Cristiano!$A107,TFunçõesAdm[],3,0),40)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IFERROR(VLOOKUP(Cristiano!$A108,TFunçõesAdm[],3,0),40)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IFERROR(VLOOKUP(Cristiano!$A109,TFunçõesAdm[],3,0),40)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IFERROR(VLOOKUP(Cristiano!$A110,TFunçõesAdm[],3,0),40)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IFERROR(VLOOKUP(Cristiano!$A111,TFunçõesAdm[],3,0),40)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IFERROR(VLOOKUP(Cristiano!$A112,TFunçõesAdm[],3,0),40)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25</v>
      </c>
      <c r="G113" s="124"/>
      <c r="H113" s="89"/>
      <c r="I113" s="124"/>
      <c r="J113" s="124"/>
      <c r="K113" s="89"/>
      <c r="L113" s="104">
        <f>MIN(Cristiano!$L$101:$L$112)</f>
        <v>4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SUM(Cristiano!$F$123:$F$124)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3</v>
      </c>
      <c r="B134" s="143">
        <f>K32</f>
        <v>3</v>
      </c>
      <c r="C134" s="143">
        <f>K50</f>
        <v>9</v>
      </c>
      <c r="D134" s="143">
        <f>F65</f>
        <v>0</v>
      </c>
      <c r="E134" s="143">
        <f>F81</f>
        <v>18</v>
      </c>
      <c r="F134" s="143">
        <f>F97</f>
        <v>0</v>
      </c>
      <c r="G134" s="143">
        <f>F113</f>
        <v>25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58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Cristiano André Steffens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3</v>
      </c>
      <c r="G148" s="71">
        <f>SUM(H23:I31)</f>
        <v>0</v>
      </c>
      <c r="H148" s="71">
        <f>B134</f>
        <v>3</v>
      </c>
      <c r="I148" s="71">
        <f>C134</f>
        <v>9</v>
      </c>
      <c r="J148" s="71">
        <f>E134</f>
        <v>18</v>
      </c>
      <c r="K148" s="71">
        <f>F134</f>
        <v>0</v>
      </c>
      <c r="Q148" s="71">
        <v>0</v>
      </c>
      <c r="R148" s="71">
        <f>D134</f>
        <v>0</v>
      </c>
      <c r="S148" s="71">
        <f>G134</f>
        <v>25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58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576" priority="26">
      <formula>se+$A$134&lt;$L$35</formula>
    </cfRule>
    <cfRule type="cellIs" dxfId="575" priority="25" operator="lessThan">
      <formula>M35</formula>
    </cfRule>
  </conditionalFormatting>
  <conditionalFormatting sqref="B134">
    <cfRule type="expression" dxfId="574" priority="35">
      <formula>P32=1</formula>
    </cfRule>
  </conditionalFormatting>
  <conditionalFormatting sqref="E134">
    <cfRule type="expression" dxfId="573" priority="20">
      <formula>($E$134&gt;$L$68)</formula>
    </cfRule>
  </conditionalFormatting>
  <conditionalFormatting sqref="F54:F64">
    <cfRule type="cellIs" dxfId="572" priority="18" operator="greaterThan">
      <formula>R54</formula>
    </cfRule>
  </conditionalFormatting>
  <conditionalFormatting sqref="F101:F112">
    <cfRule type="cellIs" dxfId="571" priority="3" operator="notBetween">
      <formula>Q101</formula>
      <formula>R101</formula>
    </cfRule>
  </conditionalFormatting>
  <conditionalFormatting sqref="F70:G80">
    <cfRule type="cellIs" dxfId="570" priority="2" operator="notBetween">
      <formula>Q70</formula>
      <formula>R70</formula>
    </cfRule>
  </conditionalFormatting>
  <conditionalFormatting sqref="J12:J21">
    <cfRule type="expression" dxfId="569" priority="9">
      <formula>P12=1</formula>
    </cfRule>
  </conditionalFormatting>
  <conditionalFormatting sqref="J23:J31">
    <cfRule type="expression" dxfId="568" priority="1">
      <formula>P23=1</formula>
    </cfRule>
  </conditionalFormatting>
  <conditionalFormatting sqref="K37:K49">
    <cfRule type="expression" dxfId="567" priority="27">
      <formula>(K37&gt;R37)</formula>
    </cfRule>
  </conditionalFormatting>
  <conditionalFormatting sqref="K134">
    <cfRule type="cellIs" dxfId="566" priority="33" operator="notEqual">
      <formula>40</formula>
    </cfRule>
  </conditionalFormatting>
  <conditionalFormatting sqref="O85:P91">
    <cfRule type="expression" dxfId="565" priority="47">
      <formula>T82=1</formula>
    </cfRule>
  </conditionalFormatting>
  <conditionalFormatting sqref="O92:P92">
    <cfRule type="expression" dxfId="564" priority="54">
      <formula>T84=1</formula>
    </cfRule>
  </conditionalFormatting>
  <conditionalFormatting sqref="O93:P93">
    <cfRule type="expression" dxfId="563" priority="49">
      <formula>T84=1</formula>
    </cfRule>
  </conditionalFormatting>
  <conditionalFormatting sqref="O94:P94">
    <cfRule type="expression" dxfId="562" priority="48">
      <formula>T84=1</formula>
    </cfRule>
  </conditionalFormatting>
  <conditionalFormatting sqref="O95:P95">
    <cfRule type="expression" dxfId="561" priority="38">
      <formula>T84=1</formula>
    </cfRule>
  </conditionalFormatting>
  <conditionalFormatting sqref="O96:P96">
    <cfRule type="expression" dxfId="560" priority="21">
      <formula>T83=1</formula>
    </cfRule>
  </conditionalFormatting>
  <conditionalFormatting sqref="Q78:Q79">
    <cfRule type="expression" dxfId="559" priority="51">
      <formula>T68=1</formula>
    </cfRule>
  </conditionalFormatting>
  <conditionalFormatting sqref="Q80">
    <cfRule type="expression" dxfId="558" priority="43">
      <formula>S69=1</formula>
    </cfRule>
  </conditionalFormatting>
  <conditionalFormatting sqref="Q81">
    <cfRule type="expression" dxfId="557" priority="42">
      <formula>S69=1</formula>
    </cfRule>
  </conditionalFormatting>
  <conditionalFormatting sqref="Q37:R44">
    <cfRule type="expression" dxfId="556" priority="30">
      <formula>T34=1</formula>
    </cfRule>
  </conditionalFormatting>
  <conditionalFormatting sqref="Q45:R45">
    <cfRule type="expression" dxfId="555" priority="44">
      <formula>T37=1</formula>
    </cfRule>
  </conditionalFormatting>
  <conditionalFormatting sqref="Q46:R46">
    <cfRule type="expression" dxfId="554" priority="22">
      <formula>T37=1</formula>
    </cfRule>
  </conditionalFormatting>
  <conditionalFormatting sqref="Q47:R49">
    <cfRule type="expression" dxfId="553" priority="28">
      <formula>T37=1</formula>
    </cfRule>
  </conditionalFormatting>
  <conditionalFormatting sqref="Q54:R57">
    <cfRule type="expression" dxfId="552" priority="31">
      <formula>T51=1</formula>
    </cfRule>
  </conditionalFormatting>
  <conditionalFormatting sqref="Q58:R63">
    <cfRule type="expression" dxfId="551" priority="23">
      <formula>T52=1</formula>
    </cfRule>
  </conditionalFormatting>
  <conditionalFormatting sqref="Q64:R64">
    <cfRule type="expression" dxfId="550" priority="50">
      <formula>T53=1</formula>
    </cfRule>
  </conditionalFormatting>
  <conditionalFormatting sqref="Q70:R76">
    <cfRule type="expression" dxfId="549" priority="36">
      <formula>T66=1</formula>
    </cfRule>
  </conditionalFormatting>
  <conditionalFormatting sqref="Q77:R77">
    <cfRule type="expression" dxfId="548" priority="29">
      <formula>T68=1</formula>
    </cfRule>
  </conditionalFormatting>
  <conditionalFormatting sqref="Q101:R106 Q107:Q112 R109">
    <cfRule type="expression" dxfId="547" priority="39">
      <formula>T99=1</formula>
    </cfRule>
  </conditionalFormatting>
  <conditionalFormatting sqref="Q113:R113">
    <cfRule type="expression" dxfId="546" priority="34">
      <formula>#REF!=1</formula>
    </cfRule>
  </conditionalFormatting>
  <conditionalFormatting sqref="R78:R79">
    <cfRule type="expression" dxfId="545" priority="46">
      <formula>U67=1</formula>
    </cfRule>
  </conditionalFormatting>
  <conditionalFormatting sqref="R80">
    <cfRule type="expression" dxfId="544" priority="52">
      <formula>U67=1</formula>
    </cfRule>
  </conditionalFormatting>
  <conditionalFormatting sqref="R81">
    <cfRule type="expression" dxfId="543" priority="53">
      <formula>U69=1</formula>
    </cfRule>
  </conditionalFormatting>
  <conditionalFormatting sqref="R107:R108">
    <cfRule type="expression" dxfId="542" priority="55">
      <formula>U101=1</formula>
    </cfRule>
  </conditionalFormatting>
  <conditionalFormatting sqref="R110:R112">
    <cfRule type="expression" dxfId="541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4976815-72DB-46FE-B109-276F1A9805AA}">
          <x14:formula1>
            <xm:f>'Grade Pós'!$A:$A</xm:f>
          </x14:formula1>
          <xm:sqref>A23:A31</xm:sqref>
        </x14:dataValidation>
        <x14:dataValidation type="list" allowBlank="1" showInputMessage="1" showErrorMessage="1" xr:uid="{51B1F225-8262-4E18-B73A-C9DBC21812BD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9684E29F-CC5D-4D06-8597-4CEC1A6F249D}">
          <x14:formula1>
            <xm:f>Profs!$A:$A</xm:f>
          </x14:formula1>
          <xm:sqref>A5</xm:sqref>
        </x14:dataValidation>
        <x14:dataValidation type="list" allowBlank="1" showInputMessage="1" showErrorMessage="1" xr:uid="{E938A229-CA57-4DAB-9C2A-A8BC22006721}">
          <x14:formula1>
            <xm:f>Dados!$A$108:$A$109</xm:f>
          </x14:formula1>
          <xm:sqref>D54:D64</xm:sqref>
        </x14:dataValidation>
        <x14:dataValidation type="list" allowBlank="1" showInputMessage="1" showErrorMessage="1" xr:uid="{775F8659-0E7B-4ECF-9BDE-AED1575F9DB4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896618E3-6EA8-4377-8766-57FDF1181409}">
          <x14:formula1>
            <xm:f>Dados!$A$44:$A$78</xm:f>
          </x14:formula1>
          <xm:sqref>A101:A112</xm:sqref>
        </x14:dataValidation>
        <x14:dataValidation type="list" allowBlank="1" showInputMessage="1" showErrorMessage="1" xr:uid="{5EF608F5-497A-4410-BF26-0A85ADED0A4B}">
          <x14:formula1>
            <xm:f>Dados!$A$95:$A$99</xm:f>
          </x14:formula1>
          <xm:sqref>D68</xm:sqref>
        </x14:dataValidation>
        <x14:dataValidation type="list" allowBlank="1" showInputMessage="1" showErrorMessage="1" xr:uid="{43752080-CEB0-4583-948C-28028D960BA9}">
          <x14:formula1>
            <xm:f>Dados!$A$85:$A$90</xm:f>
          </x14:formula1>
          <xm:sqref>A37:A49</xm:sqref>
        </x14:dataValidation>
        <x14:dataValidation type="list" allowBlank="1" showInputMessage="1" showErrorMessage="1" xr:uid="{5829AACA-9D18-473F-AB4B-F0E4FD71DB77}">
          <x14:formula1>
            <xm:f>Dados!$A$38:$A$39</xm:f>
          </x14:formula1>
          <xm:sqref>H35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7F00-5892-47FF-BE0F-3A48A55EA628}">
  <sheetPr>
    <pageSetUpPr fitToPage="1"/>
  </sheetPr>
  <dimension ref="A1:W148"/>
  <sheetViews>
    <sheetView showGridLines="0" topLeftCell="A4" zoomScale="53" zoomScaleNormal="53" workbookViewId="0">
      <selection activeCell="Q139" sqref="Q139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431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Substituto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Horista</v>
      </c>
      <c r="I8" s="160" t="str">
        <f>VLOOKUP(A5,TProfessores[],6,0)</f>
        <v>02 h/ativ.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884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Eletiva</v>
      </c>
      <c r="G12" s="184"/>
      <c r="H12" s="73">
        <v>2</v>
      </c>
      <c r="I12" s="73">
        <v>0</v>
      </c>
      <c r="J12" s="180"/>
      <c r="K12" s="181"/>
      <c r="L12" s="2">
        <f t="shared" ref="L12:L21" si="0">SUM(H12:I12)</f>
        <v>2</v>
      </c>
      <c r="M12" s="3">
        <f t="shared" ref="M12:M21" si="1">IF(A12&lt;&gt;0,1,0)</f>
        <v>1</v>
      </c>
      <c r="N12" s="3">
        <f t="shared" ref="N12:N21" si="2">IF(J12&lt;Q12,1,0)</f>
        <v>1</v>
      </c>
      <c r="O12" s="3">
        <f t="shared" ref="O12:O21" si="3">IF(J12&gt;R12,1,0)</f>
        <v>0</v>
      </c>
      <c r="P12" s="3">
        <f>SUM(N12:O12)</f>
        <v>1</v>
      </c>
      <c r="Q12" s="52">
        <f t="shared" ref="Q12:Q21" si="4">L12*0.5</f>
        <v>1</v>
      </c>
      <c r="R12" s="54">
        <f t="shared" ref="R12:R21" si="5">IFERROR(_xlfn.IFS($M$32=1,L12,$M$32=2,L12,$M$32=3,(L12*1.3),$M$32&gt;3,(L12*1.5)),0)</f>
        <v>2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IFERROR(VLOOKUP(Daniele!$A23,'Grade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IFERROR(VLOOKUP(Daniele!$A24,'Grade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IFERROR(VLOOKUP(Daniele!$A25,'Grade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IFERROR(VLOOKUP(Daniele!$A26,'Grade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IFERROR(VLOOKUP(Daniele!$A27,'Grade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IFERROR(VLOOKUP(Daniele!$A28,'Grade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IFERROR(VLOOKUP(Daniele!$A29,'Grade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IFERROR(VLOOKUP(Daniele!$A30,'Grade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IFERROR(VLOOKUP(Daniele!$A31,'Grade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2</v>
      </c>
      <c r="M32" s="5">
        <f>SUM(M12:M31)</f>
        <v>1</v>
      </c>
      <c r="N32" s="96">
        <f>IF(K32&lt;Q32,1,0)</f>
        <v>1</v>
      </c>
      <c r="O32" s="96">
        <f>IF(K32&gt;R32,1,0)</f>
        <v>0</v>
      </c>
      <c r="P32" s="96">
        <f>SUM(N32:O32)</f>
        <v>1</v>
      </c>
      <c r="Q32" s="100">
        <f>L32*0.5</f>
        <v>1</v>
      </c>
      <c r="R32" s="101">
        <f t="shared" si="9"/>
        <v>2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IFERROR(VLOOKUP(Daniele!$D54,Tabela20[],2,0),0)</f>
        <v>0</v>
      </c>
      <c r="R54" s="54">
        <f>IFERROR(VLOOKUP(Daniele!$D54,Tabela20[],3,0),0)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IFERROR(VLOOKUP(Daniele!$D55,Tabela20[],2,0),0)</f>
        <v>0</v>
      </c>
      <c r="R55" s="54">
        <f>IFERROR(VLOOKUP(Daniele!$D55,Tabela20[],3,0),0)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IFERROR(VLOOKUP(Daniele!$D56,Tabela20[],2,0),0)</f>
        <v>0</v>
      </c>
      <c r="R56" s="54">
        <f>IFERROR(VLOOKUP(Daniele!$D56,Tabela20[],3,0),0)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IFERROR(VLOOKUP(Daniele!$D57,Tabela20[],2,0),0)</f>
        <v>0</v>
      </c>
      <c r="R57" s="54">
        <f>IFERROR(VLOOKUP(Daniele!$D57,Tabela20[],3,0),0)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IFERROR(VLOOKUP(Daniele!$D58,Tabela20[],2,0),0)</f>
        <v>0</v>
      </c>
      <c r="R58" s="54">
        <f>IFERROR(VLOOKUP(Daniele!$D58,Tabela20[],3,0),0)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IFERROR(VLOOKUP(Daniele!$D59,Tabela20[],2,0),0)</f>
        <v>0</v>
      </c>
      <c r="R59" s="54">
        <f>IFERROR(VLOOKUP(Daniele!$D59,Tabela20[],3,0),0)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IFERROR(VLOOKUP(Daniele!$D60,Tabela20[],2,0),0)</f>
        <v>0</v>
      </c>
      <c r="R60" s="54">
        <f>IFERROR(VLOOKUP(Daniele!$D60,Tabela20[],3,0),0)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IFERROR(VLOOKUP(Daniele!$D61,Tabela20[],2,0),0)</f>
        <v>0</v>
      </c>
      <c r="R61" s="54">
        <f>IFERROR(VLOOKUP(Daniele!$D61,Tabela20[],3,0),0)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IFERROR(VLOOKUP(Daniele!$D62,Tabela20[],2,0),0)</f>
        <v>0</v>
      </c>
      <c r="R62" s="54">
        <f>IFERROR(VLOOKUP(Daniele!$D62,Tabela20[],3,0),0)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IFERROR(VLOOKUP(Daniele!$D63,Tabela20[],2,0),0)</f>
        <v>0</v>
      </c>
      <c r="R63" s="54">
        <f>IFERROR(VLOOKUP(Daniele!$D63,Tabela20[],3,0),0)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IFERROR(VLOOKUP(Daniele!$D64,Tabela20[],2,0),0)</f>
        <v>0</v>
      </c>
      <c r="R64" s="114">
        <f>IFERROR(VLOOKUP(Daniele!$D64,Tabela20[],3,0),0)</f>
        <v>0</v>
      </c>
    </row>
    <row r="65" spans="1:23" s="89" customFormat="1" hidden="1" x14ac:dyDescent="0.25">
      <c r="A65" s="89" t="s">
        <v>756</v>
      </c>
      <c r="F65" s="124">
        <f>SUM(Daniele!$F$54:$F$64)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IFERROR(VLOOKUP(Daniele!$D70,Tabela11[],2),0)</f>
        <v>0</v>
      </c>
      <c r="R70" s="54">
        <f>IFERROR(VLOOKUP(Daniele!$D70,Tabela11[],3),0)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IFERROR(VLOOKUP(Daniele!$D71,Tabela11[],2),0)</f>
        <v>0</v>
      </c>
      <c r="R71" s="54">
        <f>IFERROR(VLOOKUP(Daniele!$D71,Tabela11[],3),0)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IFERROR(VLOOKUP(Daniele!$D72,Tabela11[],2),0)</f>
        <v>0</v>
      </c>
      <c r="R72" s="54">
        <f>IFERROR(VLOOKUP(Daniele!$D72,Tabela11[],3),0)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IFERROR(VLOOKUP(Daniele!$D73,Tabela11[],2),0)</f>
        <v>0</v>
      </c>
      <c r="R73" s="54">
        <f>IFERROR(VLOOKUP(Daniele!$D73,Tabela11[],3),0)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IFERROR(VLOOKUP(Daniele!$D74,Tabela11[],2),0)</f>
        <v>0</v>
      </c>
      <c r="R74" s="54">
        <f>IFERROR(VLOOKUP(Daniele!$D74,Tabela11[],3),0)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IFERROR(VLOOKUP(Daniele!$D75,Tabela11[],2),0)</f>
        <v>0</v>
      </c>
      <c r="R75" s="54">
        <f>IFERROR(VLOOKUP(Daniele!$D75,Tabela11[],3),0)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IFERROR(VLOOKUP(Daniele!$D76,Tabela11[],2),0)</f>
        <v>0</v>
      </c>
      <c r="R76" s="54">
        <f>IFERROR(VLOOKUP(Daniele!$D76,Tabela11[],3),0)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IFERROR(VLOOKUP(Daniele!$D77,Tabela11[],2),0)</f>
        <v>0</v>
      </c>
      <c r="R77" s="54">
        <f>IFERROR(VLOOKUP(Daniele!$D77,Tabela11[],3),0)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IFERROR(VLOOKUP(Daniele!$D78,Tabela11[],2),0)</f>
        <v>0</v>
      </c>
      <c r="R78" s="54">
        <f>IFERROR(VLOOKUP(Daniele!$D78,Tabela11[],3),0)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IFERROR(VLOOKUP(Daniele!$D79,Tabela11[],2),0)</f>
        <v>0</v>
      </c>
      <c r="R79" s="54">
        <f>IFERROR(VLOOKUP(Daniele!$D79,Tabela11[],3),0)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IFERROR(VLOOKUP(Daniele!$D80,Tabela11[],2),0)</f>
        <v>0</v>
      </c>
      <c r="R80" s="114">
        <f>IFERROR(VLOOKUP(Daniele!$D80,Tabela11[],3),0)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IFERROR(VLOOKUP(Daniele!$D85,Tabela21[],2,0),0)</f>
        <v>0</v>
      </c>
      <c r="P85" s="54">
        <f>IFERROR(VLOOKUP(Daniele!$D85,Tabela21[],3,0),0)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IFERROR(VLOOKUP(Daniele!$D86,Tabela21[],2,0),0)</f>
        <v>0</v>
      </c>
      <c r="P86" s="54">
        <f>IFERROR(VLOOKUP(Daniele!$D86,Tabela21[],3,0),0)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IFERROR(VLOOKUP(Daniele!$D87,Tabela21[],2,0),0)</f>
        <v>0</v>
      </c>
      <c r="P87" s="54">
        <f>IFERROR(VLOOKUP(Daniele!$D87,Tabela21[],3,0),0)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IFERROR(VLOOKUP(Daniele!$D88,Tabela21[],2,0),0)</f>
        <v>0</v>
      </c>
      <c r="P88" s="54">
        <f>IFERROR(VLOOKUP(Daniele!$D88,Tabela21[],3,0),0)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IFERROR(VLOOKUP(Daniele!$D89,Tabela21[],2,0),0)</f>
        <v>0</v>
      </c>
      <c r="P89" s="54">
        <f>IFERROR(VLOOKUP(Daniele!$D89,Tabela21[],3,0),0)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IFERROR(VLOOKUP(Daniele!$D90,Tabela21[],2,0),0)</f>
        <v>0</v>
      </c>
      <c r="P90" s="54">
        <f>IFERROR(VLOOKUP(Daniele!$D90,Tabela21[],3,0),0)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IFERROR(VLOOKUP(Daniele!$D91,Tabela21[],2,0),0)</f>
        <v>0</v>
      </c>
      <c r="P91" s="54">
        <f>IFERROR(VLOOKUP(Daniele!$D91,Tabela21[],3,0),0)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IFERROR(VLOOKUP(Daniele!$D92,Tabela21[],2,0),0)</f>
        <v>0</v>
      </c>
      <c r="P92" s="54">
        <f>IFERROR(VLOOKUP(Daniele!$D92,Tabela21[],3,0),0)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IFERROR(VLOOKUP(Daniele!$D93,Tabela21[],2,0),0)</f>
        <v>0</v>
      </c>
      <c r="P93" s="54">
        <f>IFERROR(VLOOKUP(Daniele!$D93,Tabela21[],3,0),0)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IFERROR(VLOOKUP(Daniele!$D94,Tabela21[],2,0),0)</f>
        <v>0</v>
      </c>
      <c r="P94" s="54">
        <f>IFERROR(VLOOKUP(Daniele!$D94,Tabela21[],3,0),0)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IFERROR(VLOOKUP(Daniele!$D95,Tabela21[],2,0),0)</f>
        <v>0</v>
      </c>
      <c r="P95" s="54">
        <f>IFERROR(VLOOKUP(Daniele!$D95,Tabela21[],3,0),0)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IFERROR(VLOOKUP(Daniele!$D96,Tabela21[],2,0),0)</f>
        <v>0</v>
      </c>
      <c r="P96" s="54">
        <f>IFERROR(VLOOKUP(Daniele!$D96,Tabela21[],3,0),0)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IFERROR(VLOOKUP(Daniele!$D97,Tabela21[],2,0),0)</f>
        <v>0</v>
      </c>
      <c r="P97" s="136">
        <f>IFERROR(VLOOKUP(Daniele!$D97,Tabela21[],3,0),0)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IFERROR(VLOOKUP(Daniele!$A101,TFunçõesAdm[],3,0),40)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IFERROR(VLOOKUP(Daniele!$A102,TFunçõesAdm[],3,0),40)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IFERROR(VLOOKUP(Daniele!$A103,TFunçõesAdm[],3,0),40)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IFERROR(VLOOKUP(Daniele!$A104,TFunçõesAdm[],3,0),40)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IFERROR(VLOOKUP(Daniele!$A105,TFunçõesAdm[],3,0),40)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IFERROR(VLOOKUP(Daniele!$A106,TFunçõesAdm[],3,0),40)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IFERROR(VLOOKUP(Daniele!$A107,TFunçõesAdm[],3,0),40)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IFERROR(VLOOKUP(Daniele!$A108,TFunçõesAdm[],3,0),40)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IFERROR(VLOOKUP(Daniele!$A109,TFunçõesAdm[],3,0),40)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IFERROR(VLOOKUP(Daniele!$A110,TFunçõesAdm[],3,0),40)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IFERROR(VLOOKUP(Daniele!$A111,TFunçõesAdm[],3,0),40)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IFERROR(VLOOKUP(Daniele!$A112,TFunçõesAdm[],3,0),40)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MIN(Daniele!$L$101:$L$112)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SUM(Daniele!$F$123:$F$124)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2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2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Substituto</v>
      </c>
      <c r="B148" s="26" t="str">
        <f>A5</f>
        <v>Daniele Nerling</v>
      </c>
      <c r="C148" s="26" t="str">
        <f>D8</f>
        <v>Doutor(a)</v>
      </c>
      <c r="D148" s="70" t="str">
        <f>H8</f>
        <v>Horista</v>
      </c>
      <c r="E148" s="70" t="str">
        <f>I8</f>
        <v>02 h/ativ.</v>
      </c>
      <c r="F148" s="71">
        <f>SUM(H12:I21)</f>
        <v>2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2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517F3DE4-44F5-45B7-9A4D-BC2EED6A10B3}">
          <x14:formula1>
            <xm:f>'Grade Pós'!$A:$A</xm:f>
          </x14:formula1>
          <xm:sqref>A23:A31</xm:sqref>
        </x14:dataValidation>
        <x14:dataValidation type="list" allowBlank="1" showInputMessage="1" showErrorMessage="1" xr:uid="{4A7DB470-4A1E-4C89-A852-1E9656685A76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0805640E-9CA3-4119-8C68-BB5A2B3D8F84}">
          <x14:formula1>
            <xm:f>Profs!$A:$A</xm:f>
          </x14:formula1>
          <xm:sqref>A5</xm:sqref>
        </x14:dataValidation>
        <x14:dataValidation type="list" allowBlank="1" showInputMessage="1" showErrorMessage="1" xr:uid="{D405F087-67F0-4882-BDDD-EBBA7442BED2}">
          <x14:formula1>
            <xm:f>Dados!$A$108:$A$109</xm:f>
          </x14:formula1>
          <xm:sqref>D54:D64</xm:sqref>
        </x14:dataValidation>
        <x14:dataValidation type="list" allowBlank="1" showInputMessage="1" showErrorMessage="1" xr:uid="{8172913D-368D-4155-8599-011CF25D4A64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C9A49CD9-A95E-4D34-BA6E-172DD8E74FD4}">
          <x14:formula1>
            <xm:f>Dados!$A$44:$A$78</xm:f>
          </x14:formula1>
          <xm:sqref>A101:A112</xm:sqref>
        </x14:dataValidation>
        <x14:dataValidation type="list" allowBlank="1" showInputMessage="1" showErrorMessage="1" xr:uid="{E3E67F79-8B0E-41B1-B723-878EDAF31803}">
          <x14:formula1>
            <xm:f>Dados!$A$95:$A$99</xm:f>
          </x14:formula1>
          <xm:sqref>D68</xm:sqref>
        </x14:dataValidation>
        <x14:dataValidation type="list" allowBlank="1" showInputMessage="1" showErrorMessage="1" xr:uid="{C96A0B40-12FB-4E56-86F4-8F1B848E1D2D}">
          <x14:formula1>
            <xm:f>Dados!$A$85:$A$90</xm:f>
          </x14:formula1>
          <xm:sqref>A37:A49</xm:sqref>
        </x14:dataValidation>
        <x14:dataValidation type="list" allowBlank="1" showInputMessage="1" showErrorMessage="1" xr:uid="{7D7BFB33-CF99-4461-906E-B04E2F98118D}">
          <x14:formula1>
            <xm:f>Dados!$A$38:$A$39</xm:f>
          </x14:formula1>
          <xm:sqref>H35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6B6A9-D419-4AB4-8097-ED06AF415DE3}">
  <sheetPr>
    <pageSetUpPr fitToPage="1"/>
  </sheetPr>
  <dimension ref="A1:W148"/>
  <sheetViews>
    <sheetView showGridLines="0" topLeftCell="A120" zoomScale="55" zoomScaleNormal="55" workbookViewId="0">
      <selection activeCell="H25" sqref="H25:K2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1312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193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5ª</v>
      </c>
      <c r="G12" s="184"/>
      <c r="H12" s="73">
        <v>2</v>
      </c>
      <c r="I12" s="73">
        <v>3</v>
      </c>
      <c r="J12" s="180">
        <v>5</v>
      </c>
      <c r="K12" s="181"/>
      <c r="L12" s="2">
        <f t="shared" ref="L12:L21" si="0">SUM(H12:I12)</f>
        <v>5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2.5</v>
      </c>
      <c r="R12" s="54">
        <f t="shared" ref="R12:R21" si="5">IFERROR(_xlfn.IFS($M$32=1,L12,$M$32=2,L12,$M$32=3,(L12*1.3),$M$32&gt;3,(L12*1.5)),0)</f>
        <v>7.5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IFERROR(VLOOKUP(Fabio!$A23,'Grade Pós'!A:B,2,0),"")</f>
        <v>PROGRAMA</v>
      </c>
      <c r="E23" s="200"/>
      <c r="F23" s="200"/>
      <c r="G23" s="184"/>
      <c r="H23" s="180">
        <v>2</v>
      </c>
      <c r="I23" s="182"/>
      <c r="J23" s="185">
        <v>2</v>
      </c>
      <c r="K23" s="185"/>
      <c r="L23" s="2">
        <f>SUM(H23:I23)</f>
        <v>2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1</v>
      </c>
      <c r="R23" s="54">
        <f t="shared" ref="R23:R32" si="9">IFERROR(_xlfn.IFS($M$32=1,L23,$M$32=2,L23,$M$32=3,(L23*1.3),$M$32&gt;3,(L23*1.5)),0)</f>
        <v>3</v>
      </c>
    </row>
    <row r="24" spans="1:22" ht="26.25" customHeight="1" x14ac:dyDescent="0.25">
      <c r="A24" s="180" t="s">
        <v>831</v>
      </c>
      <c r="B24" s="181"/>
      <c r="C24" s="182"/>
      <c r="D24" s="183" t="str">
        <f>IFERROR(VLOOKUP(Fabio!$A24,'Grade Pós'!A:B,2,0),"")</f>
        <v>PROGRAMA</v>
      </c>
      <c r="E24" s="200"/>
      <c r="F24" s="200"/>
      <c r="G24" s="184"/>
      <c r="H24" s="180">
        <v>2</v>
      </c>
      <c r="I24" s="182"/>
      <c r="J24" s="180">
        <v>2</v>
      </c>
      <c r="K24" s="182"/>
      <c r="L24" s="2">
        <f>SUM(H24:I24)</f>
        <v>2</v>
      </c>
      <c r="M24" s="3">
        <f>IF(A24&lt;&gt;0,1,0)</f>
        <v>1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1</v>
      </c>
      <c r="R24" s="54">
        <f t="shared" si="9"/>
        <v>3</v>
      </c>
    </row>
    <row r="25" spans="1:22" x14ac:dyDescent="0.25">
      <c r="A25" s="180" t="s">
        <v>831</v>
      </c>
      <c r="B25" s="181"/>
      <c r="C25" s="182"/>
      <c r="D25" s="183" t="str">
        <f>IFERROR(VLOOKUP(Fabio!$A25,'Grade Pós'!A:B,2,0),"")</f>
        <v>PROGRAMA</v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1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IFERROR(VLOOKUP(Fabio!$A26,'Grade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IFERROR(VLOOKUP(Fabio!$A27,'Grade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IFERROR(VLOOKUP(Fabio!$A28,'Grade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IFERROR(VLOOKUP(Fabio!$A29,'Grade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IFERROR(VLOOKUP(Fabio!$A30,'Grade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IFERROR(VLOOKUP(Fabio!$A31,'Grade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5</v>
      </c>
      <c r="K32" s="99">
        <f>SUM(J12:J31)</f>
        <v>9</v>
      </c>
      <c r="L32" s="4">
        <f>SUM(L12:L31)</f>
        <v>9</v>
      </c>
      <c r="M32" s="5">
        <f>SUM(M12:M31)</f>
        <v>4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4.5</v>
      </c>
      <c r="R32" s="101">
        <f t="shared" si="9"/>
        <v>13.5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115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2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2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2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IFERROR(VLOOKUP(Fabio!$D54,Tabela20[],2,0),0)</f>
        <v>0</v>
      </c>
      <c r="R54" s="54">
        <f>IFERROR(VLOOKUP(Fabio!$D54,Tabela20[],3,0),0)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IFERROR(VLOOKUP(Fabio!$D55,Tabela20[],2,0),0)</f>
        <v>0</v>
      </c>
      <c r="R55" s="54">
        <f>IFERROR(VLOOKUP(Fabio!$D55,Tabela20[],3,0),0)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IFERROR(VLOOKUP(Fabio!$D56,Tabela20[],2,0),0)</f>
        <v>0</v>
      </c>
      <c r="R56" s="54">
        <f>IFERROR(VLOOKUP(Fabio!$D56,Tabela20[],3,0),0)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IFERROR(VLOOKUP(Fabio!$D57,Tabela20[],2,0),0)</f>
        <v>0</v>
      </c>
      <c r="R57" s="54">
        <f>IFERROR(VLOOKUP(Fabio!$D57,Tabela20[],3,0),0)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IFERROR(VLOOKUP(Fabio!$D58,Tabela20[],2,0),0)</f>
        <v>0</v>
      </c>
      <c r="R58" s="54">
        <f>IFERROR(VLOOKUP(Fabio!$D58,Tabela20[],3,0),0)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IFERROR(VLOOKUP(Fabio!$D59,Tabela20[],2,0),0)</f>
        <v>0</v>
      </c>
      <c r="R59" s="54">
        <f>IFERROR(VLOOKUP(Fabio!$D59,Tabela20[],3,0),0)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IFERROR(VLOOKUP(Fabio!$D60,Tabela20[],2,0),0)</f>
        <v>0</v>
      </c>
      <c r="R60" s="54">
        <f>IFERROR(VLOOKUP(Fabio!$D60,Tabela20[],3,0),0)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IFERROR(VLOOKUP(Fabio!$D61,Tabela20[],2,0),0)</f>
        <v>0</v>
      </c>
      <c r="R61" s="54">
        <f>IFERROR(VLOOKUP(Fabio!$D61,Tabela20[],3,0),0)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IFERROR(VLOOKUP(Fabio!$D62,Tabela20[],2,0),0)</f>
        <v>0</v>
      </c>
      <c r="R62" s="54">
        <f>IFERROR(VLOOKUP(Fabio!$D62,Tabela20[],3,0),0)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IFERROR(VLOOKUP(Fabio!$D63,Tabela20[],2,0),0)</f>
        <v>0</v>
      </c>
      <c r="R63" s="54">
        <f>IFERROR(VLOOKUP(Fabio!$D63,Tabela20[],3,0),0)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IFERROR(VLOOKUP(Fabio!$D64,Tabela20[],2,0),0)</f>
        <v>0</v>
      </c>
      <c r="R64" s="114">
        <f>IFERROR(VLOOKUP(Fabio!$D64,Tabela20[],3,0),0)</f>
        <v>0</v>
      </c>
    </row>
    <row r="65" spans="1:23" s="89" customFormat="1" hidden="1" x14ac:dyDescent="0.25">
      <c r="A65" s="89" t="s">
        <v>756</v>
      </c>
      <c r="F65" s="124">
        <f>SUM(Fabio!$F$54:$F$64)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5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IFERROR(VLOOKUP(Fabio!$D70,Tabela11[],2),0)</f>
        <v>0</v>
      </c>
      <c r="R70" s="54">
        <f>IFERROR(VLOOKUP(Fabio!$D70,Tabela11[],3),0)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5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IFERROR(VLOOKUP(Fabio!$D71,Tabela11[],2),0)</f>
        <v>0</v>
      </c>
      <c r="R71" s="54">
        <f>IFERROR(VLOOKUP(Fabio!$D71,Tabela11[],3),0)</f>
        <v>6</v>
      </c>
    </row>
    <row r="72" spans="1:23" x14ac:dyDescent="0.25">
      <c r="A72" s="180"/>
      <c r="B72" s="181"/>
      <c r="C72" s="182"/>
      <c r="D72" s="180" t="s">
        <v>791</v>
      </c>
      <c r="E72" s="182"/>
      <c r="F72" s="73">
        <v>5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IFERROR(VLOOKUP(Fabio!$D72,Tabela11[],2),0)</f>
        <v>0</v>
      </c>
      <c r="R72" s="54">
        <f>IFERROR(VLOOKUP(Fabio!$D72,Tabela11[],3),0)</f>
        <v>6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IFERROR(VLOOKUP(Fabio!$D73,Tabela11[],2),0)</f>
        <v>0</v>
      </c>
      <c r="R73" s="54">
        <f>IFERROR(VLOOKUP(Fabio!$D73,Tabela11[],3),0)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IFERROR(VLOOKUP(Fabio!$D74,Tabela11[],2),0)</f>
        <v>0</v>
      </c>
      <c r="R74" s="54">
        <f>IFERROR(VLOOKUP(Fabio!$D74,Tabela11[],3),0)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IFERROR(VLOOKUP(Fabio!$D75,Tabela11[],2),0)</f>
        <v>0</v>
      </c>
      <c r="R75" s="54">
        <f>IFERROR(VLOOKUP(Fabio!$D75,Tabela11[],3),0)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IFERROR(VLOOKUP(Fabio!$D76,Tabela11[],2),0)</f>
        <v>0</v>
      </c>
      <c r="R76" s="54">
        <f>IFERROR(VLOOKUP(Fabio!$D76,Tabela11[],3),0)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IFERROR(VLOOKUP(Fabio!$D77,Tabela11[],2),0)</f>
        <v>0</v>
      </c>
      <c r="R77" s="54">
        <f>IFERROR(VLOOKUP(Fabio!$D77,Tabela11[],3),0)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IFERROR(VLOOKUP(Fabio!$D78,Tabela11[],2),0)</f>
        <v>0</v>
      </c>
      <c r="R78" s="54">
        <f>IFERROR(VLOOKUP(Fabio!$D78,Tabela11[],3),0)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IFERROR(VLOOKUP(Fabio!$D79,Tabela11[],2),0)</f>
        <v>0</v>
      </c>
      <c r="R79" s="54">
        <f>IFERROR(VLOOKUP(Fabio!$D79,Tabela11[],3),0)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IFERROR(VLOOKUP(Fabio!$D80,Tabela11[],2),0)</f>
        <v>0</v>
      </c>
      <c r="R80" s="114">
        <f>IFERROR(VLOOKUP(Fabio!$D80,Tabela11[],3),0)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15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IFERROR(VLOOKUP(Fabio!$D85,Tabela21[],2,0),0)</f>
        <v>0</v>
      </c>
      <c r="P85" s="54">
        <f>IFERROR(VLOOKUP(Fabio!$D85,Tabela21[],3,0),0)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IFERROR(VLOOKUP(Fabio!$D86,Tabela21[],2,0),0)</f>
        <v>0</v>
      </c>
      <c r="P86" s="54">
        <f>IFERROR(VLOOKUP(Fabio!$D86,Tabela21[],3,0),0)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IFERROR(VLOOKUP(Fabio!$D87,Tabela21[],2,0),0)</f>
        <v>0</v>
      </c>
      <c r="P87" s="54">
        <f>IFERROR(VLOOKUP(Fabio!$D87,Tabela21[],3,0),0)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IFERROR(VLOOKUP(Fabio!$D88,Tabela21[],2,0),0)</f>
        <v>0</v>
      </c>
      <c r="P88" s="54">
        <f>IFERROR(VLOOKUP(Fabio!$D88,Tabela21[],3,0),0)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IFERROR(VLOOKUP(Fabio!$D89,Tabela21[],2,0),0)</f>
        <v>0</v>
      </c>
      <c r="P89" s="54">
        <f>IFERROR(VLOOKUP(Fabio!$D89,Tabela21[],3,0),0)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IFERROR(VLOOKUP(Fabio!$D90,Tabela21[],2,0),0)</f>
        <v>0</v>
      </c>
      <c r="P90" s="54">
        <f>IFERROR(VLOOKUP(Fabio!$D90,Tabela21[],3,0),0)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IFERROR(VLOOKUP(Fabio!$D91,Tabela21[],2,0),0)</f>
        <v>0</v>
      </c>
      <c r="P91" s="54">
        <f>IFERROR(VLOOKUP(Fabio!$D91,Tabela21[],3,0),0)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IFERROR(VLOOKUP(Fabio!$D92,Tabela21[],2,0),0)</f>
        <v>0</v>
      </c>
      <c r="P92" s="54">
        <f>IFERROR(VLOOKUP(Fabio!$D92,Tabela21[],3,0),0)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IFERROR(VLOOKUP(Fabio!$D93,Tabela21[],2,0),0)</f>
        <v>0</v>
      </c>
      <c r="P93" s="54">
        <f>IFERROR(VLOOKUP(Fabio!$D93,Tabela21[],3,0),0)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IFERROR(VLOOKUP(Fabio!$D94,Tabela21[],2,0),0)</f>
        <v>0</v>
      </c>
      <c r="P94" s="54">
        <f>IFERROR(VLOOKUP(Fabio!$D94,Tabela21[],3,0),0)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IFERROR(VLOOKUP(Fabio!$D95,Tabela21[],2,0),0)</f>
        <v>0</v>
      </c>
      <c r="P95" s="54">
        <f>IFERROR(VLOOKUP(Fabio!$D95,Tabela21[],3,0),0)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IFERROR(VLOOKUP(Fabio!$D96,Tabela21[],2,0),0)</f>
        <v>0</v>
      </c>
      <c r="P96" s="54">
        <f>IFERROR(VLOOKUP(Fabio!$D96,Tabela21[],3,0),0)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IFERROR(VLOOKUP(Fabio!$D97,Tabela21[],2,0),0)</f>
        <v>0</v>
      </c>
      <c r="P97" s="136">
        <f>IFERROR(VLOOKUP(Fabio!$D97,Tabela21[],3,0),0)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801</v>
      </c>
      <c r="B101" s="181"/>
      <c r="C101" s="182"/>
      <c r="D101" s="180"/>
      <c r="E101" s="182"/>
      <c r="F101" s="73">
        <v>0</v>
      </c>
      <c r="G101" s="180"/>
      <c r="H101" s="182"/>
      <c r="I101" s="218"/>
      <c r="J101" s="219"/>
      <c r="K101" s="75"/>
      <c r="L101" s="2">
        <f>IFERROR(VLOOKUP(Fabio!$A101,TFunçõesAdm[],3,0),40)</f>
        <v>8</v>
      </c>
      <c r="M101" s="3"/>
      <c r="N101" s="95"/>
      <c r="O101" s="95"/>
      <c r="P101" s="95"/>
      <c r="Q101" s="52">
        <v>0</v>
      </c>
      <c r="R101" s="54">
        <f>IFERROR(VLOOKUP(A101,TFunçõesAdm[],2,FALSE),0)</f>
        <v>32</v>
      </c>
    </row>
    <row r="102" spans="1:22" x14ac:dyDescent="0.25">
      <c r="A102" s="180" t="s">
        <v>807</v>
      </c>
      <c r="B102" s="181"/>
      <c r="C102" s="182"/>
      <c r="D102" s="180"/>
      <c r="E102" s="182"/>
      <c r="F102" s="73">
        <v>1</v>
      </c>
      <c r="G102" s="180"/>
      <c r="H102" s="182"/>
      <c r="I102" s="218"/>
      <c r="J102" s="219"/>
      <c r="K102" s="75"/>
      <c r="L102" s="2">
        <f>IFERROR(VLOOKUP(Fabio!$A102,TFunçõesAdm[],3,0),40)</f>
        <v>35</v>
      </c>
      <c r="M102" s="3"/>
      <c r="N102" s="95"/>
      <c r="O102" s="95"/>
      <c r="P102" s="95"/>
      <c r="Q102" s="52">
        <v>0</v>
      </c>
      <c r="R102" s="54">
        <f>IFERROR(VLOOKUP(A102,TFunçõesAdm[],2,FALSE),0)</f>
        <v>5</v>
      </c>
    </row>
    <row r="103" spans="1:22" ht="24" customHeight="1" x14ac:dyDescent="0.25">
      <c r="A103" s="180" t="s">
        <v>804</v>
      </c>
      <c r="B103" s="181"/>
      <c r="C103" s="182"/>
      <c r="D103" s="180"/>
      <c r="E103" s="182"/>
      <c r="F103" s="73">
        <v>2</v>
      </c>
      <c r="G103" s="180"/>
      <c r="H103" s="182"/>
      <c r="I103" s="218"/>
      <c r="J103" s="219"/>
      <c r="K103" s="75"/>
      <c r="L103" s="2">
        <f>IFERROR(VLOOKUP(Fabio!$A103,TFunçõesAdm[],3,0),40)</f>
        <v>35</v>
      </c>
      <c r="M103" s="3"/>
      <c r="N103" s="95"/>
      <c r="O103" s="95"/>
      <c r="P103" s="95"/>
      <c r="Q103" s="52">
        <v>0</v>
      </c>
      <c r="R103" s="54">
        <f>IFERROR(VLOOKUP(A103,TFunçõesAdm[],2,FALSE),0)</f>
        <v>5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IFERROR(VLOOKUP(Fabio!$A104,TFunçõesAdm[],3,0),40)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IFERROR(VLOOKUP(Fabio!$A105,TFunçõesAdm[],3,0),40)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IFERROR(VLOOKUP(Fabio!$A106,TFunçõesAdm[],3,0),40)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IFERROR(VLOOKUP(Fabio!$A107,TFunçõesAdm[],3,0),40)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IFERROR(VLOOKUP(Fabio!$A108,TFunçõesAdm[],3,0),40)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IFERROR(VLOOKUP(Fabio!$A109,TFunçõesAdm[],3,0),40)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IFERROR(VLOOKUP(Fabio!$A110,TFunçõesAdm[],3,0),40)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IFERROR(VLOOKUP(Fabio!$A111,TFunçõesAdm[],3,0),40)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IFERROR(VLOOKUP(Fabio!$A112,TFunçõesAdm[],3,0),40)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3</v>
      </c>
      <c r="G113" s="124"/>
      <c r="H113" s="89"/>
      <c r="I113" s="124"/>
      <c r="J113" s="124"/>
      <c r="K113" s="89"/>
      <c r="L113" s="104">
        <f>MIN(Fabio!$L$101:$L$112)</f>
        <v>8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SUM(Fabio!$F$123:$F$124)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9</v>
      </c>
      <c r="B134" s="143">
        <f>K32</f>
        <v>9</v>
      </c>
      <c r="C134" s="143">
        <f>K50</f>
        <v>2</v>
      </c>
      <c r="D134" s="143">
        <f>F65</f>
        <v>0</v>
      </c>
      <c r="E134" s="143">
        <f>F81</f>
        <v>15</v>
      </c>
      <c r="F134" s="143">
        <f>F97</f>
        <v>0</v>
      </c>
      <c r="G134" s="143">
        <f>F113</f>
        <v>3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38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Fábio Nascimento Da Silva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5</v>
      </c>
      <c r="G148" s="71">
        <f>SUM(H23:I31)</f>
        <v>4</v>
      </c>
      <c r="H148" s="71">
        <f>B134</f>
        <v>9</v>
      </c>
      <c r="I148" s="71">
        <f>C134</f>
        <v>2</v>
      </c>
      <c r="J148" s="71">
        <f>E134</f>
        <v>15</v>
      </c>
      <c r="K148" s="71">
        <f>F134</f>
        <v>0</v>
      </c>
      <c r="Q148" s="71">
        <v>0</v>
      </c>
      <c r="R148" s="71">
        <f>D134</f>
        <v>0</v>
      </c>
      <c r="S148" s="71">
        <f>G134</f>
        <v>3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38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540" priority="26">
      <formula>se+$A$134&lt;$L$35</formula>
    </cfRule>
    <cfRule type="cellIs" dxfId="539" priority="25" operator="lessThan">
      <formula>M35</formula>
    </cfRule>
  </conditionalFormatting>
  <conditionalFormatting sqref="B134">
    <cfRule type="expression" dxfId="538" priority="35">
      <formula>P32=1</formula>
    </cfRule>
  </conditionalFormatting>
  <conditionalFormatting sqref="E134">
    <cfRule type="expression" dxfId="537" priority="20">
      <formula>($E$134&gt;$L$68)</formula>
    </cfRule>
  </conditionalFormatting>
  <conditionalFormatting sqref="F54:F64">
    <cfRule type="cellIs" dxfId="536" priority="18" operator="greaterThan">
      <formula>R54</formula>
    </cfRule>
  </conditionalFormatting>
  <conditionalFormatting sqref="F101:F112">
    <cfRule type="cellIs" dxfId="535" priority="3" operator="notBetween">
      <formula>Q101</formula>
      <formula>R101</formula>
    </cfRule>
  </conditionalFormatting>
  <conditionalFormatting sqref="F70:G80">
    <cfRule type="cellIs" dxfId="534" priority="2" operator="notBetween">
      <formula>Q70</formula>
      <formula>R70</formula>
    </cfRule>
  </conditionalFormatting>
  <conditionalFormatting sqref="J12:J21">
    <cfRule type="expression" dxfId="533" priority="9">
      <formula>P12=1</formula>
    </cfRule>
  </conditionalFormatting>
  <conditionalFormatting sqref="J23:J31">
    <cfRule type="expression" dxfId="532" priority="1">
      <formula>P23=1</formula>
    </cfRule>
  </conditionalFormatting>
  <conditionalFormatting sqref="K37:K49">
    <cfRule type="expression" dxfId="531" priority="27">
      <formula>(K37&gt;R37)</formula>
    </cfRule>
  </conditionalFormatting>
  <conditionalFormatting sqref="K134">
    <cfRule type="cellIs" dxfId="530" priority="33" operator="notEqual">
      <formula>40</formula>
    </cfRule>
  </conditionalFormatting>
  <conditionalFormatting sqref="O85:P91">
    <cfRule type="expression" dxfId="529" priority="47">
      <formula>T82=1</formula>
    </cfRule>
  </conditionalFormatting>
  <conditionalFormatting sqref="O92:P92">
    <cfRule type="expression" dxfId="528" priority="54">
      <formula>T84=1</formula>
    </cfRule>
  </conditionalFormatting>
  <conditionalFormatting sqref="O93:P93">
    <cfRule type="expression" dxfId="527" priority="49">
      <formula>T84=1</formula>
    </cfRule>
  </conditionalFormatting>
  <conditionalFormatting sqref="O94:P94">
    <cfRule type="expression" dxfId="526" priority="48">
      <formula>T84=1</formula>
    </cfRule>
  </conditionalFormatting>
  <conditionalFormatting sqref="O95:P95">
    <cfRule type="expression" dxfId="525" priority="38">
      <formula>T84=1</formula>
    </cfRule>
  </conditionalFormatting>
  <conditionalFormatting sqref="O96:P96">
    <cfRule type="expression" dxfId="524" priority="21">
      <formula>T83=1</formula>
    </cfRule>
  </conditionalFormatting>
  <conditionalFormatting sqref="Q78:Q79">
    <cfRule type="expression" dxfId="523" priority="51">
      <formula>T68=1</formula>
    </cfRule>
  </conditionalFormatting>
  <conditionalFormatting sqref="Q80">
    <cfRule type="expression" dxfId="522" priority="43">
      <formula>S69=1</formula>
    </cfRule>
  </conditionalFormatting>
  <conditionalFormatting sqref="Q81">
    <cfRule type="expression" dxfId="521" priority="42">
      <formula>S69=1</formula>
    </cfRule>
  </conditionalFormatting>
  <conditionalFormatting sqref="Q37:R44">
    <cfRule type="expression" dxfId="520" priority="30">
      <formula>T34=1</formula>
    </cfRule>
  </conditionalFormatting>
  <conditionalFormatting sqref="Q45:R45">
    <cfRule type="expression" dxfId="519" priority="44">
      <formula>T37=1</formula>
    </cfRule>
  </conditionalFormatting>
  <conditionalFormatting sqref="Q46:R46">
    <cfRule type="expression" dxfId="518" priority="22">
      <formula>T37=1</formula>
    </cfRule>
  </conditionalFormatting>
  <conditionalFormatting sqref="Q47:R49">
    <cfRule type="expression" dxfId="517" priority="28">
      <formula>T37=1</formula>
    </cfRule>
  </conditionalFormatting>
  <conditionalFormatting sqref="Q54:R57">
    <cfRule type="expression" dxfId="516" priority="31">
      <formula>T51=1</formula>
    </cfRule>
  </conditionalFormatting>
  <conditionalFormatting sqref="Q58:R63">
    <cfRule type="expression" dxfId="515" priority="23">
      <formula>T52=1</formula>
    </cfRule>
  </conditionalFormatting>
  <conditionalFormatting sqref="Q64:R64">
    <cfRule type="expression" dxfId="514" priority="50">
      <formula>T53=1</formula>
    </cfRule>
  </conditionalFormatting>
  <conditionalFormatting sqref="Q70:R76">
    <cfRule type="expression" dxfId="513" priority="36">
      <formula>T66=1</formula>
    </cfRule>
  </conditionalFormatting>
  <conditionalFormatting sqref="Q77:R77">
    <cfRule type="expression" dxfId="512" priority="29">
      <formula>T68=1</formula>
    </cfRule>
  </conditionalFormatting>
  <conditionalFormatting sqref="Q101:R106 Q107:Q112 R109">
    <cfRule type="expression" dxfId="511" priority="39">
      <formula>T99=1</formula>
    </cfRule>
  </conditionalFormatting>
  <conditionalFormatting sqref="Q113:R113">
    <cfRule type="expression" dxfId="510" priority="34">
      <formula>#REF!=1</formula>
    </cfRule>
  </conditionalFormatting>
  <conditionalFormatting sqref="R78:R79">
    <cfRule type="expression" dxfId="509" priority="46">
      <formula>U67=1</formula>
    </cfRule>
  </conditionalFormatting>
  <conditionalFormatting sqref="R80">
    <cfRule type="expression" dxfId="508" priority="52">
      <formula>U67=1</formula>
    </cfRule>
  </conditionalFormatting>
  <conditionalFormatting sqref="R81">
    <cfRule type="expression" dxfId="507" priority="53">
      <formula>U69=1</formula>
    </cfRule>
  </conditionalFormatting>
  <conditionalFormatting sqref="R107:R108">
    <cfRule type="expression" dxfId="506" priority="55">
      <formula>U101=1</formula>
    </cfRule>
  </conditionalFormatting>
  <conditionalFormatting sqref="R110:R112">
    <cfRule type="expression" dxfId="505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57BF9C2-8C36-4FCE-9969-4FD08FD0BFBE}">
          <x14:formula1>
            <xm:f>Dados!$A$38:$A$39</xm:f>
          </x14:formula1>
          <xm:sqref>H35</xm:sqref>
        </x14:dataValidation>
        <x14:dataValidation type="list" allowBlank="1" showInputMessage="1" showErrorMessage="1" xr:uid="{B27CDB69-C0C7-4F24-8BBD-056FBCC3AC45}">
          <x14:formula1>
            <xm:f>Dados!$A$85:$A$90</xm:f>
          </x14:formula1>
          <xm:sqref>A37:A49</xm:sqref>
        </x14:dataValidation>
        <x14:dataValidation type="list" allowBlank="1" showInputMessage="1" showErrorMessage="1" xr:uid="{917C1482-F1EE-4E62-9AB8-CD5116B430D3}">
          <x14:formula1>
            <xm:f>Dados!$A$95:$A$99</xm:f>
          </x14:formula1>
          <xm:sqref>D68</xm:sqref>
        </x14:dataValidation>
        <x14:dataValidation type="list" allowBlank="1" showInputMessage="1" showErrorMessage="1" xr:uid="{E1CCF07A-5A69-4901-848F-DC0D3FC66CE1}">
          <x14:formula1>
            <xm:f>Dados!$A$44:$A$78</xm:f>
          </x14:formula1>
          <xm:sqref>A101:A112</xm:sqref>
        </x14:dataValidation>
        <x14:dataValidation type="list" allowBlank="1" showInputMessage="1" showErrorMessage="1" xr:uid="{A81784D1-1559-41A6-969E-5CA77A949C45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A5E9EC21-476B-4747-9D34-7A6A5E50C51C}">
          <x14:formula1>
            <xm:f>Dados!$A$108:$A$109</xm:f>
          </x14:formula1>
          <xm:sqref>D54:D64</xm:sqref>
        </x14:dataValidation>
        <x14:dataValidation type="list" allowBlank="1" showInputMessage="1" showErrorMessage="1" xr:uid="{9B925C83-553C-45B7-B8FB-0F2714C528AF}">
          <x14:formula1>
            <xm:f>Profs!$A:$A</xm:f>
          </x14:formula1>
          <xm:sqref>A5</xm:sqref>
        </x14:dataValidation>
        <x14:dataValidation type="list" allowBlank="1" showInputMessage="1" showErrorMessage="1" xr:uid="{B1356D76-A4B4-4039-B288-340BE714884F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7F7A7060-3E45-4E3B-BCEB-F01D63B840BC}">
          <x14:formula1>
            <xm:f>'Grade Pós'!$A:$A</xm:f>
          </x14:formula1>
          <xm:sqref>A23:A31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A264-CEC4-45B0-979E-6D15E058BAB2}">
  <sheetPr>
    <tabColor rgb="FFFF0000"/>
    <pageSetUpPr fitToPage="1"/>
  </sheetPr>
  <dimension ref="A1:W148"/>
  <sheetViews>
    <sheetView showGridLines="0" topLeftCell="A117" zoomScale="95" zoomScaleNormal="95" workbookViewId="0">
      <selection activeCell="H155" sqref="H15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1315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Substituto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Horista</v>
      </c>
      <c r="I8" s="160" t="str">
        <f>VLOOKUP(A5,TProfessores[],6,0)</f>
        <v>02 h/ativ.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232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Eletiva</v>
      </c>
      <c r="G12" s="184"/>
      <c r="H12" s="73">
        <v>1</v>
      </c>
      <c r="I12" s="73">
        <v>1</v>
      </c>
      <c r="J12" s="180"/>
      <c r="K12" s="181"/>
      <c r="L12" s="2">
        <f t="shared" ref="L12:L21" si="0">SUM(H12:I12)</f>
        <v>2</v>
      </c>
      <c r="M12" s="3">
        <f t="shared" ref="M12:M21" si="1">IF(A12&lt;&gt;0,1,0)</f>
        <v>1</v>
      </c>
      <c r="N12" s="3">
        <f t="shared" ref="N12:N21" si="2">IF(J12&lt;Q12,1,0)</f>
        <v>1</v>
      </c>
      <c r="O12" s="3">
        <f t="shared" ref="O12:O21" si="3">IF(J12&gt;R12,1,0)</f>
        <v>0</v>
      </c>
      <c r="P12" s="3">
        <f>SUM(N12:O12)</f>
        <v>1</v>
      </c>
      <c r="Q12" s="52">
        <f t="shared" ref="Q12:Q21" si="4">L12*0.5</f>
        <v>1</v>
      </c>
      <c r="R12" s="54">
        <f t="shared" ref="R12:R21" si="5">IFERROR(_xlfn.IFS($M$32=1,L12,$M$32=2,L12,$M$32=3,(L12*1.3),$M$32&gt;3,(L12*1.5)),0)</f>
        <v>2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IFERROR(VLOOKUP(Francine!$A23,'Grade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IFERROR(VLOOKUP(Francine!$A24,'Grade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IFERROR(VLOOKUP(Francine!$A25,'Grade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IFERROR(VLOOKUP(Francine!$A26,'Grade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IFERROR(VLOOKUP(Francine!$A27,'Grade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IFERROR(VLOOKUP(Francine!$A28,'Grade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IFERROR(VLOOKUP(Francine!$A29,'Grade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IFERROR(VLOOKUP(Francine!$A30,'Grade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IFERROR(VLOOKUP(Francine!$A31,'Grade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2</v>
      </c>
      <c r="M32" s="5">
        <f>SUM(M12:M31)</f>
        <v>1</v>
      </c>
      <c r="N32" s="96">
        <f>IF(K32&lt;Q32,1,0)</f>
        <v>1</v>
      </c>
      <c r="O32" s="96">
        <f>IF(K32&gt;R32,1,0)</f>
        <v>0</v>
      </c>
      <c r="P32" s="96">
        <f>SUM(N32:O32)</f>
        <v>1</v>
      </c>
      <c r="Q32" s="100">
        <f>L32*0.5</f>
        <v>1</v>
      </c>
      <c r="R32" s="101">
        <f t="shared" si="9"/>
        <v>2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IFERROR(VLOOKUP(Francine!$D54,Tabela20[],2,0),0)</f>
        <v>0</v>
      </c>
      <c r="R54" s="54">
        <f>IFERROR(VLOOKUP(Francine!$D54,Tabela20[],3,0),0)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IFERROR(VLOOKUP(Francine!$D55,Tabela20[],2,0),0)</f>
        <v>0</v>
      </c>
      <c r="R55" s="54">
        <f>IFERROR(VLOOKUP(Francine!$D55,Tabela20[],3,0),0)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IFERROR(VLOOKUP(Francine!$D56,Tabela20[],2,0),0)</f>
        <v>0</v>
      </c>
      <c r="R56" s="54">
        <f>IFERROR(VLOOKUP(Francine!$D56,Tabela20[],3,0),0)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IFERROR(VLOOKUP(Francine!$D57,Tabela20[],2,0),0)</f>
        <v>0</v>
      </c>
      <c r="R57" s="54">
        <f>IFERROR(VLOOKUP(Francine!$D57,Tabela20[],3,0),0)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IFERROR(VLOOKUP(Francine!$D58,Tabela20[],2,0),0)</f>
        <v>0</v>
      </c>
      <c r="R58" s="54">
        <f>IFERROR(VLOOKUP(Francine!$D58,Tabela20[],3,0),0)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IFERROR(VLOOKUP(Francine!$D59,Tabela20[],2,0),0)</f>
        <v>0</v>
      </c>
      <c r="R59" s="54">
        <f>IFERROR(VLOOKUP(Francine!$D59,Tabela20[],3,0),0)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IFERROR(VLOOKUP(Francine!$D60,Tabela20[],2,0),0)</f>
        <v>0</v>
      </c>
      <c r="R60" s="54">
        <f>IFERROR(VLOOKUP(Francine!$D60,Tabela20[],3,0),0)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IFERROR(VLOOKUP(Francine!$D61,Tabela20[],2,0),0)</f>
        <v>0</v>
      </c>
      <c r="R61" s="54">
        <f>IFERROR(VLOOKUP(Francine!$D61,Tabela20[],3,0),0)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IFERROR(VLOOKUP(Francine!$D62,Tabela20[],2,0),0)</f>
        <v>0</v>
      </c>
      <c r="R62" s="54">
        <f>IFERROR(VLOOKUP(Francine!$D62,Tabela20[],3,0),0)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IFERROR(VLOOKUP(Francine!$D63,Tabela20[],2,0),0)</f>
        <v>0</v>
      </c>
      <c r="R63" s="54">
        <f>IFERROR(VLOOKUP(Francine!$D63,Tabela20[],3,0),0)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IFERROR(VLOOKUP(Francine!$D64,Tabela20[],2,0),0)</f>
        <v>0</v>
      </c>
      <c r="R64" s="114">
        <f>IFERROR(VLOOKUP(Francine!$D64,Tabela20[],3,0),0)</f>
        <v>0</v>
      </c>
    </row>
    <row r="65" spans="1:23" s="89" customFormat="1" hidden="1" x14ac:dyDescent="0.25">
      <c r="A65" s="89" t="s">
        <v>756</v>
      </c>
      <c r="F65" s="124">
        <f>SUM(Francine!$F$54:$F$64)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IFERROR(VLOOKUP(Francine!$D70,Tabela11[],2),0)</f>
        <v>0</v>
      </c>
      <c r="R70" s="54">
        <f>IFERROR(VLOOKUP(Francine!$D70,Tabela11[],3),0)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IFERROR(VLOOKUP(Francine!$D71,Tabela11[],2),0)</f>
        <v>0</v>
      </c>
      <c r="R71" s="54">
        <f>IFERROR(VLOOKUP(Francine!$D71,Tabela11[],3),0)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IFERROR(VLOOKUP(Francine!$D72,Tabela11[],2),0)</f>
        <v>0</v>
      </c>
      <c r="R72" s="54">
        <f>IFERROR(VLOOKUP(Francine!$D72,Tabela11[],3),0)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IFERROR(VLOOKUP(Francine!$D73,Tabela11[],2),0)</f>
        <v>0</v>
      </c>
      <c r="R73" s="54">
        <f>IFERROR(VLOOKUP(Francine!$D73,Tabela11[],3),0)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IFERROR(VLOOKUP(Francine!$D74,Tabela11[],2),0)</f>
        <v>0</v>
      </c>
      <c r="R74" s="54">
        <f>IFERROR(VLOOKUP(Francine!$D74,Tabela11[],3),0)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IFERROR(VLOOKUP(Francine!$D75,Tabela11[],2),0)</f>
        <v>0</v>
      </c>
      <c r="R75" s="54">
        <f>IFERROR(VLOOKUP(Francine!$D75,Tabela11[],3),0)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IFERROR(VLOOKUP(Francine!$D76,Tabela11[],2),0)</f>
        <v>0</v>
      </c>
      <c r="R76" s="54">
        <f>IFERROR(VLOOKUP(Francine!$D76,Tabela11[],3),0)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IFERROR(VLOOKUP(Francine!$D77,Tabela11[],2),0)</f>
        <v>0</v>
      </c>
      <c r="R77" s="54">
        <f>IFERROR(VLOOKUP(Francine!$D77,Tabela11[],3),0)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IFERROR(VLOOKUP(Francine!$D78,Tabela11[],2),0)</f>
        <v>0</v>
      </c>
      <c r="R78" s="54">
        <f>IFERROR(VLOOKUP(Francine!$D78,Tabela11[],3),0)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IFERROR(VLOOKUP(Francine!$D79,Tabela11[],2),0)</f>
        <v>0</v>
      </c>
      <c r="R79" s="54">
        <f>IFERROR(VLOOKUP(Francine!$D79,Tabela11[],3),0)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IFERROR(VLOOKUP(Francine!$D80,Tabela11[],2),0)</f>
        <v>0</v>
      </c>
      <c r="R80" s="114">
        <f>IFERROR(VLOOKUP(Francine!$D80,Tabela11[],3),0)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IFERROR(VLOOKUP(Francine!$D85,Tabela21[],2,0),0)</f>
        <v>0</v>
      </c>
      <c r="P85" s="54">
        <f>IFERROR(VLOOKUP(Francine!$D85,Tabela21[],3,0),0)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IFERROR(VLOOKUP(Francine!$D86,Tabela21[],2,0),0)</f>
        <v>0</v>
      </c>
      <c r="P86" s="54">
        <f>IFERROR(VLOOKUP(Francine!$D86,Tabela21[],3,0),0)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IFERROR(VLOOKUP(Francine!$D87,Tabela21[],2,0),0)</f>
        <v>0</v>
      </c>
      <c r="P87" s="54">
        <f>IFERROR(VLOOKUP(Francine!$D87,Tabela21[],3,0),0)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IFERROR(VLOOKUP(Francine!$D88,Tabela21[],2,0),0)</f>
        <v>0</v>
      </c>
      <c r="P88" s="54">
        <f>IFERROR(VLOOKUP(Francine!$D88,Tabela21[],3,0),0)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IFERROR(VLOOKUP(Francine!$D89,Tabela21[],2,0),0)</f>
        <v>0</v>
      </c>
      <c r="P89" s="54">
        <f>IFERROR(VLOOKUP(Francine!$D89,Tabela21[],3,0),0)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IFERROR(VLOOKUP(Francine!$D90,Tabela21[],2,0),0)</f>
        <v>0</v>
      </c>
      <c r="P90" s="54">
        <f>IFERROR(VLOOKUP(Francine!$D90,Tabela21[],3,0),0)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IFERROR(VLOOKUP(Francine!$D91,Tabela21[],2,0),0)</f>
        <v>0</v>
      </c>
      <c r="P91" s="54">
        <f>IFERROR(VLOOKUP(Francine!$D91,Tabela21[],3,0),0)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IFERROR(VLOOKUP(Francine!$D92,Tabela21[],2,0),0)</f>
        <v>0</v>
      </c>
      <c r="P92" s="54">
        <f>IFERROR(VLOOKUP(Francine!$D92,Tabela21[],3,0),0)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IFERROR(VLOOKUP(Francine!$D93,Tabela21[],2,0),0)</f>
        <v>0</v>
      </c>
      <c r="P93" s="54">
        <f>IFERROR(VLOOKUP(Francine!$D93,Tabela21[],3,0),0)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IFERROR(VLOOKUP(Francine!$D94,Tabela21[],2,0),0)</f>
        <v>0</v>
      </c>
      <c r="P94" s="54">
        <f>IFERROR(VLOOKUP(Francine!$D94,Tabela21[],3,0),0)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IFERROR(VLOOKUP(Francine!$D95,Tabela21[],2,0),0)</f>
        <v>0</v>
      </c>
      <c r="P95" s="54">
        <f>IFERROR(VLOOKUP(Francine!$D95,Tabela21[],3,0),0)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IFERROR(VLOOKUP(Francine!$D96,Tabela21[],2,0),0)</f>
        <v>0</v>
      </c>
      <c r="P96" s="54">
        <f>IFERROR(VLOOKUP(Francine!$D96,Tabela21[],3,0),0)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IFERROR(VLOOKUP(Francine!$D97,Tabela21[],2,0),0)</f>
        <v>0</v>
      </c>
      <c r="P97" s="136">
        <f>IFERROR(VLOOKUP(Francine!$D97,Tabela21[],3,0),0)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IFERROR(VLOOKUP(Francine!$A101,TFunçõesAdm[],3,0),40)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IFERROR(VLOOKUP(Francine!$A102,TFunçõesAdm[],3,0),40)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IFERROR(VLOOKUP(Francine!$A103,TFunçõesAdm[],3,0),40)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IFERROR(VLOOKUP(Francine!$A104,TFunçõesAdm[],3,0),40)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IFERROR(VLOOKUP(Francine!$A105,TFunçõesAdm[],3,0),40)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IFERROR(VLOOKUP(Francine!$A106,TFunçõesAdm[],3,0),40)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IFERROR(VLOOKUP(Francine!$A107,TFunçõesAdm[],3,0),40)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IFERROR(VLOOKUP(Francine!$A108,TFunçõesAdm[],3,0),40)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IFERROR(VLOOKUP(Francine!$A109,TFunçõesAdm[],3,0),40)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IFERROR(VLOOKUP(Francine!$A110,TFunçõesAdm[],3,0),40)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IFERROR(VLOOKUP(Francine!$A111,TFunçõesAdm[],3,0),40)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IFERROR(VLOOKUP(Francine!$A112,TFunçõesAdm[],3,0),40)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MIN(Francine!$L$101:$L$112)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SUM(Francine!$F$123:$F$124)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2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2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Substituto</v>
      </c>
      <c r="B148" s="26" t="str">
        <f>A5</f>
        <v>Francine Regianini Nerbass</v>
      </c>
      <c r="C148" s="26" t="str">
        <f>D8</f>
        <v>Doutor(a)</v>
      </c>
      <c r="D148" s="70" t="str">
        <f>H8</f>
        <v>Horista</v>
      </c>
      <c r="E148" s="70" t="str">
        <f>I8</f>
        <v>02 h/ativ.</v>
      </c>
      <c r="F148" s="71">
        <f>SUM(H12:I21)</f>
        <v>2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2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39955076-524B-4D9D-92C1-AC72A0849D78}">
          <x14:formula1>
            <xm:f>Dados!$A$38:$A$39</xm:f>
          </x14:formula1>
          <xm:sqref>H35</xm:sqref>
        </x14:dataValidation>
        <x14:dataValidation type="list" allowBlank="1" showInputMessage="1" showErrorMessage="1" xr:uid="{91ED9579-4667-4258-BA5E-A62315E4D9FD}">
          <x14:formula1>
            <xm:f>Dados!$A$85:$A$90</xm:f>
          </x14:formula1>
          <xm:sqref>A37:A49</xm:sqref>
        </x14:dataValidation>
        <x14:dataValidation type="list" allowBlank="1" showInputMessage="1" showErrorMessage="1" xr:uid="{8181B06E-7C46-4F9C-9963-12AF668EF448}">
          <x14:formula1>
            <xm:f>Dados!$A$95:$A$99</xm:f>
          </x14:formula1>
          <xm:sqref>D68</xm:sqref>
        </x14:dataValidation>
        <x14:dataValidation type="list" allowBlank="1" showInputMessage="1" showErrorMessage="1" xr:uid="{ED6229AA-A16C-46AF-AC5F-C255E0D458A9}">
          <x14:formula1>
            <xm:f>Dados!$A$44:$A$78</xm:f>
          </x14:formula1>
          <xm:sqref>A101:A112</xm:sqref>
        </x14:dataValidation>
        <x14:dataValidation type="list" allowBlank="1" showInputMessage="1" showErrorMessage="1" xr:uid="{210A68B6-96A1-40DD-A1C7-AC3F48BDFBA7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94553349-A10C-48A0-A9B5-DA2B70B0C136}">
          <x14:formula1>
            <xm:f>Dados!$A$108:$A$109</xm:f>
          </x14:formula1>
          <xm:sqref>D54:D64</xm:sqref>
        </x14:dataValidation>
        <x14:dataValidation type="list" allowBlank="1" showInputMessage="1" showErrorMessage="1" xr:uid="{D713F947-13CE-4C51-A4EE-AD8FB3AFA06D}">
          <x14:formula1>
            <xm:f>Profs!$A:$A</xm:f>
          </x14:formula1>
          <xm:sqref>A5</xm:sqref>
        </x14:dataValidation>
        <x14:dataValidation type="list" allowBlank="1" showInputMessage="1" showErrorMessage="1" xr:uid="{297CAFDA-0BA4-4C43-B73F-1346C64035B5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BEE8EA4E-7B5A-409B-8B15-A0E1794F08FE}">
          <x14:formula1>
            <xm:f>'Grade Pós'!$A:$A</xm:f>
          </x14:formula1>
          <xm:sqref>A23:A31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955B-6E34-4E5E-B034-66F6ED1CDF07}">
  <sheetPr>
    <pageSetUpPr fitToPage="1"/>
  </sheetPr>
  <dimension ref="A1:W148"/>
  <sheetViews>
    <sheetView showGridLines="0" topLeftCell="A40" zoomScale="68" zoomScaleNormal="68" workbookViewId="0">
      <selection activeCell="J13" sqref="J13:K13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414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712</v>
      </c>
      <c r="B12" s="181"/>
      <c r="C12" s="182"/>
      <c r="D12" s="183" t="str">
        <f>IFERROR(VLOOKUP(A12,TGradeCurricular[],2,0),"")</f>
        <v>Engenharia Florestal</v>
      </c>
      <c r="E12" s="184"/>
      <c r="F12" s="183" t="str">
        <f>IFERROR(VLOOKUP(A12,TGradeCurricular[],3,0),"")</f>
        <v>1ª</v>
      </c>
      <c r="G12" s="184"/>
      <c r="H12" s="73">
        <v>2</v>
      </c>
      <c r="I12" s="73"/>
      <c r="J12" s="180">
        <v>1</v>
      </c>
      <c r="K12" s="181"/>
      <c r="L12" s="2">
        <f t="shared" ref="L12:L21" si="0">SUM(H12:I12)</f>
        <v>2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1</v>
      </c>
      <c r="R12" s="54">
        <f t="shared" ref="R12:R21" si="5">IFERROR(_xlfn.IFS($M$32=1,L12,$M$32=2,L12,$M$32=3,(L12*1.3),$M$32&gt;3,(L12*1.5)),0)</f>
        <v>3</v>
      </c>
    </row>
    <row r="13" spans="1:22" ht="15" customHeight="1" x14ac:dyDescent="0.25">
      <c r="A13" s="180" t="s">
        <v>194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5ª</v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 t="s">
        <v>203</v>
      </c>
      <c r="B14" s="181"/>
      <c r="C14" s="182"/>
      <c r="D14" s="183" t="str">
        <f>IFERROR(VLOOKUP(A14,TGradeCurricular[],2,0),"")</f>
        <v>Agronomia</v>
      </c>
      <c r="E14" s="184"/>
      <c r="F14" s="183" t="str">
        <f>IFERROR(VLOOKUP(A14,TGradeCurricular[],3,0),"")</f>
        <v>6ª</v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 t="s">
        <v>879</v>
      </c>
      <c r="B15" s="181"/>
      <c r="C15" s="182"/>
      <c r="D15" s="183" t="str">
        <f>IFERROR(VLOOKUP(A15,TGradeCurricular[],2,0),"")</f>
        <v>Agronomia</v>
      </c>
      <c r="E15" s="184"/>
      <c r="F15" s="183" t="str">
        <f>IFERROR(VLOOKUP(A15,TGradeCurricular[],3,0),"")</f>
        <v>Eletiva</v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1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IFERROR(VLOOKUP(Germano!$A23,'Grade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IFERROR(VLOOKUP(Germano!$A24,'Grade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IFERROR(VLOOKUP(Germano!$A25,'Grade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IFERROR(VLOOKUP(Germano!$A26,'Grade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IFERROR(VLOOKUP(Germano!$A27,'Grade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IFERROR(VLOOKUP(Germano!$A28,'Grade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IFERROR(VLOOKUP(Germano!$A29,'Grade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IFERROR(VLOOKUP(Germano!$A30,'Grade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IFERROR(VLOOKUP(Germano!$A31,'Grade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1</v>
      </c>
      <c r="K32" s="99">
        <f>SUM(J12:J31)</f>
        <v>1</v>
      </c>
      <c r="L32" s="4">
        <f>SUM(L12:L31)</f>
        <v>2</v>
      </c>
      <c r="M32" s="5">
        <f>SUM(M12:M31)</f>
        <v>4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1</v>
      </c>
      <c r="R32" s="101">
        <f t="shared" si="9"/>
        <v>3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IFERROR(VLOOKUP(Germano!$D54,Tabela20[],2,0),0)</f>
        <v>0</v>
      </c>
      <c r="R54" s="54">
        <f>IFERROR(VLOOKUP(Germano!$D54,Tabela20[],3,0),0)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IFERROR(VLOOKUP(Germano!$D55,Tabela20[],2,0),0)</f>
        <v>0</v>
      </c>
      <c r="R55" s="54">
        <f>IFERROR(VLOOKUP(Germano!$D55,Tabela20[],3,0),0)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IFERROR(VLOOKUP(Germano!$D56,Tabela20[],2,0),0)</f>
        <v>0</v>
      </c>
      <c r="R56" s="54">
        <f>IFERROR(VLOOKUP(Germano!$D56,Tabela20[],3,0),0)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IFERROR(VLOOKUP(Germano!$D57,Tabela20[],2,0),0)</f>
        <v>0</v>
      </c>
      <c r="R57" s="54">
        <f>IFERROR(VLOOKUP(Germano!$D57,Tabela20[],3,0),0)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IFERROR(VLOOKUP(Germano!$D58,Tabela20[],2,0),0)</f>
        <v>0</v>
      </c>
      <c r="R58" s="54">
        <f>IFERROR(VLOOKUP(Germano!$D58,Tabela20[],3,0),0)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IFERROR(VLOOKUP(Germano!$D59,Tabela20[],2,0),0)</f>
        <v>0</v>
      </c>
      <c r="R59" s="54">
        <f>IFERROR(VLOOKUP(Germano!$D59,Tabela20[],3,0),0)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IFERROR(VLOOKUP(Germano!$D60,Tabela20[],2,0),0)</f>
        <v>0</v>
      </c>
      <c r="R60" s="54">
        <f>IFERROR(VLOOKUP(Germano!$D60,Tabela20[],3,0),0)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IFERROR(VLOOKUP(Germano!$D61,Tabela20[],2,0),0)</f>
        <v>0</v>
      </c>
      <c r="R61" s="54">
        <f>IFERROR(VLOOKUP(Germano!$D61,Tabela20[],3,0),0)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IFERROR(VLOOKUP(Germano!$D62,Tabela20[],2,0),0)</f>
        <v>0</v>
      </c>
      <c r="R62" s="54">
        <f>IFERROR(VLOOKUP(Germano!$D62,Tabela20[],3,0),0)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IFERROR(VLOOKUP(Germano!$D63,Tabela20[],2,0),0)</f>
        <v>0</v>
      </c>
      <c r="R63" s="54">
        <f>IFERROR(VLOOKUP(Germano!$D63,Tabela20[],3,0),0)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IFERROR(VLOOKUP(Germano!$D64,Tabela20[],2,0),0)</f>
        <v>0</v>
      </c>
      <c r="R64" s="114">
        <f>IFERROR(VLOOKUP(Germano!$D64,Tabela20[],3,0),0)</f>
        <v>0</v>
      </c>
    </row>
    <row r="65" spans="1:23" s="89" customFormat="1" hidden="1" x14ac:dyDescent="0.25">
      <c r="A65" s="89" t="s">
        <v>756</v>
      </c>
      <c r="F65" s="124">
        <f>SUM(Germano!$F$54:$F$64)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IFERROR(VLOOKUP(Germano!$D70,Tabela11[],2),0)</f>
        <v>0</v>
      </c>
      <c r="R70" s="54">
        <f>IFERROR(VLOOKUP(Germano!$D70,Tabela11[],3),0)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IFERROR(VLOOKUP(Germano!$D71,Tabela11[],2),0)</f>
        <v>0</v>
      </c>
      <c r="R71" s="54">
        <f>IFERROR(VLOOKUP(Germano!$D71,Tabela11[],3),0)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IFERROR(VLOOKUP(Germano!$D72,Tabela11[],2),0)</f>
        <v>0</v>
      </c>
      <c r="R72" s="54">
        <f>IFERROR(VLOOKUP(Germano!$D72,Tabela11[],3),0)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IFERROR(VLOOKUP(Germano!$D73,Tabela11[],2),0)</f>
        <v>0</v>
      </c>
      <c r="R73" s="54">
        <f>IFERROR(VLOOKUP(Germano!$D73,Tabela11[],3),0)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IFERROR(VLOOKUP(Germano!$D74,Tabela11[],2),0)</f>
        <v>0</v>
      </c>
      <c r="R74" s="54">
        <f>IFERROR(VLOOKUP(Germano!$D74,Tabela11[],3),0)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IFERROR(VLOOKUP(Germano!$D75,Tabela11[],2),0)</f>
        <v>0</v>
      </c>
      <c r="R75" s="54">
        <f>IFERROR(VLOOKUP(Germano!$D75,Tabela11[],3),0)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IFERROR(VLOOKUP(Germano!$D76,Tabela11[],2),0)</f>
        <v>0</v>
      </c>
      <c r="R76" s="54">
        <f>IFERROR(VLOOKUP(Germano!$D76,Tabela11[],3),0)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IFERROR(VLOOKUP(Germano!$D77,Tabela11[],2),0)</f>
        <v>0</v>
      </c>
      <c r="R77" s="54">
        <f>IFERROR(VLOOKUP(Germano!$D77,Tabela11[],3),0)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IFERROR(VLOOKUP(Germano!$D78,Tabela11[],2),0)</f>
        <v>0</v>
      </c>
      <c r="R78" s="54">
        <f>IFERROR(VLOOKUP(Germano!$D78,Tabela11[],3),0)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IFERROR(VLOOKUP(Germano!$D79,Tabela11[],2),0)</f>
        <v>0</v>
      </c>
      <c r="R79" s="54">
        <f>IFERROR(VLOOKUP(Germano!$D79,Tabela11[],3),0)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IFERROR(VLOOKUP(Germano!$D80,Tabela11[],2),0)</f>
        <v>0</v>
      </c>
      <c r="R80" s="114">
        <f>IFERROR(VLOOKUP(Germano!$D80,Tabela11[],3),0)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>
        <v>10</v>
      </c>
      <c r="G85" s="180"/>
      <c r="H85" s="182"/>
      <c r="I85" s="180"/>
      <c r="J85" s="182"/>
      <c r="K85" s="6"/>
      <c r="L85" s="121"/>
      <c r="M85" s="121"/>
      <c r="N85" s="122"/>
      <c r="O85" s="52">
        <f>IFERROR(VLOOKUP(Germano!$D85,Tabela21[],2,0),0)</f>
        <v>0</v>
      </c>
      <c r="P85" s="54">
        <f>IFERROR(VLOOKUP(Germano!$D85,Tabela21[],3,0),0)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IFERROR(VLOOKUP(Germano!$D86,Tabela21[],2,0),0)</f>
        <v>0</v>
      </c>
      <c r="P86" s="54">
        <f>IFERROR(VLOOKUP(Germano!$D86,Tabela21[],3,0),0)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IFERROR(VLOOKUP(Germano!$D87,Tabela21[],2,0),0)</f>
        <v>0</v>
      </c>
      <c r="P87" s="54">
        <f>IFERROR(VLOOKUP(Germano!$D87,Tabela21[],3,0),0)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IFERROR(VLOOKUP(Germano!$D88,Tabela21[],2,0),0)</f>
        <v>0</v>
      </c>
      <c r="P88" s="54">
        <f>IFERROR(VLOOKUP(Germano!$D88,Tabela21[],3,0),0)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IFERROR(VLOOKUP(Germano!$D89,Tabela21[],2,0),0)</f>
        <v>0</v>
      </c>
      <c r="P89" s="54">
        <f>IFERROR(VLOOKUP(Germano!$D89,Tabela21[],3,0),0)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IFERROR(VLOOKUP(Germano!$D90,Tabela21[],2,0),0)</f>
        <v>0</v>
      </c>
      <c r="P90" s="54">
        <f>IFERROR(VLOOKUP(Germano!$D90,Tabela21[],3,0),0)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IFERROR(VLOOKUP(Germano!$D91,Tabela21[],2,0),0)</f>
        <v>0</v>
      </c>
      <c r="P91" s="54">
        <f>IFERROR(VLOOKUP(Germano!$D91,Tabela21[],3,0),0)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IFERROR(VLOOKUP(Germano!$D92,Tabela21[],2,0),0)</f>
        <v>0</v>
      </c>
      <c r="P92" s="54">
        <f>IFERROR(VLOOKUP(Germano!$D92,Tabela21[],3,0),0)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IFERROR(VLOOKUP(Germano!$D93,Tabela21[],2,0),0)</f>
        <v>0</v>
      </c>
      <c r="P93" s="54">
        <f>IFERROR(VLOOKUP(Germano!$D93,Tabela21[],3,0),0)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IFERROR(VLOOKUP(Germano!$D94,Tabela21[],2,0),0)</f>
        <v>0</v>
      </c>
      <c r="P94" s="54">
        <f>IFERROR(VLOOKUP(Germano!$D94,Tabela21[],3,0),0)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IFERROR(VLOOKUP(Germano!$D95,Tabela21[],2,0),0)</f>
        <v>0</v>
      </c>
      <c r="P95" s="54">
        <f>IFERROR(VLOOKUP(Germano!$D95,Tabela21[],3,0),0)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IFERROR(VLOOKUP(Germano!$D96,Tabela21[],2,0),0)</f>
        <v>0</v>
      </c>
      <c r="P96" s="54">
        <f>IFERROR(VLOOKUP(Germano!$D96,Tabela21[],3,0),0)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10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IFERROR(VLOOKUP(Germano!$D97,Tabela21[],2,0),0)</f>
        <v>0</v>
      </c>
      <c r="P97" s="136">
        <f>IFERROR(VLOOKUP(Germano!$D97,Tabela21[],3,0),0)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IFERROR(VLOOKUP(Germano!$A101,TFunçõesAdm[],3,0),40)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IFERROR(VLOOKUP(Germano!$A102,TFunçõesAdm[],3,0),40)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IFERROR(VLOOKUP(Germano!$A103,TFunçõesAdm[],3,0),40)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IFERROR(VLOOKUP(Germano!$A104,TFunçõesAdm[],3,0),40)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IFERROR(VLOOKUP(Germano!$A105,TFunçõesAdm[],3,0),40)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IFERROR(VLOOKUP(Germano!$A106,TFunçõesAdm[],3,0),40)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IFERROR(VLOOKUP(Germano!$A107,TFunçõesAdm[],3,0),40)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IFERROR(VLOOKUP(Germano!$A108,TFunçõesAdm[],3,0),40)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IFERROR(VLOOKUP(Germano!$A109,TFunçõesAdm[],3,0),40)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IFERROR(VLOOKUP(Germano!$A110,TFunçõesAdm[],3,0),40)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IFERROR(VLOOKUP(Germano!$A111,TFunçõesAdm[],3,0),40)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IFERROR(VLOOKUP(Germano!$A112,TFunçõesAdm[],3,0),40)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MIN(Germano!$L$101:$L$112)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SUM(Germano!$F$123:$F$124)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2</v>
      </c>
      <c r="B134" s="143">
        <f>K32</f>
        <v>1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10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13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Germano Güttler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2</v>
      </c>
      <c r="G148" s="71">
        <f>SUM(H23:I31)</f>
        <v>0</v>
      </c>
      <c r="H148" s="71">
        <f>B134</f>
        <v>1</v>
      </c>
      <c r="I148" s="71">
        <f>C134</f>
        <v>0</v>
      </c>
      <c r="J148" s="71">
        <f>E134</f>
        <v>0</v>
      </c>
      <c r="K148" s="71">
        <f>F134</f>
        <v>10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13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504" priority="26">
      <formula>se+$A$134&lt;$L$35</formula>
    </cfRule>
    <cfRule type="cellIs" dxfId="503" priority="25" operator="lessThan">
      <formula>M35</formula>
    </cfRule>
  </conditionalFormatting>
  <conditionalFormatting sqref="B134">
    <cfRule type="expression" dxfId="502" priority="35">
      <formula>P32=1</formula>
    </cfRule>
  </conditionalFormatting>
  <conditionalFormatting sqref="E134">
    <cfRule type="expression" dxfId="501" priority="20">
      <formula>($E$134&gt;$L$68)</formula>
    </cfRule>
  </conditionalFormatting>
  <conditionalFormatting sqref="F54:F64">
    <cfRule type="cellIs" dxfId="500" priority="18" operator="greaterThan">
      <formula>R54</formula>
    </cfRule>
  </conditionalFormatting>
  <conditionalFormatting sqref="F101:F112">
    <cfRule type="cellIs" dxfId="499" priority="3" operator="notBetween">
      <formula>Q101</formula>
      <formula>R101</formula>
    </cfRule>
  </conditionalFormatting>
  <conditionalFormatting sqref="F70:G80">
    <cfRule type="cellIs" dxfId="498" priority="2" operator="notBetween">
      <formula>Q70</formula>
      <formula>R70</formula>
    </cfRule>
  </conditionalFormatting>
  <conditionalFormatting sqref="J12:J21">
    <cfRule type="expression" dxfId="497" priority="9">
      <formula>P12=1</formula>
    </cfRule>
  </conditionalFormatting>
  <conditionalFormatting sqref="J23:J31">
    <cfRule type="expression" dxfId="496" priority="1">
      <formula>P23=1</formula>
    </cfRule>
  </conditionalFormatting>
  <conditionalFormatting sqref="K37:K49">
    <cfRule type="expression" dxfId="495" priority="27">
      <formula>(K37&gt;R37)</formula>
    </cfRule>
  </conditionalFormatting>
  <conditionalFormatting sqref="K134">
    <cfRule type="cellIs" dxfId="494" priority="33" operator="notEqual">
      <formula>40</formula>
    </cfRule>
  </conditionalFormatting>
  <conditionalFormatting sqref="O85:P91">
    <cfRule type="expression" dxfId="493" priority="47">
      <formula>T82=1</formula>
    </cfRule>
  </conditionalFormatting>
  <conditionalFormatting sqref="O92:P92">
    <cfRule type="expression" dxfId="492" priority="54">
      <formula>T84=1</formula>
    </cfRule>
  </conditionalFormatting>
  <conditionalFormatting sqref="O93:P93">
    <cfRule type="expression" dxfId="491" priority="49">
      <formula>T84=1</formula>
    </cfRule>
  </conditionalFormatting>
  <conditionalFormatting sqref="O94:P94">
    <cfRule type="expression" dxfId="490" priority="48">
      <formula>T84=1</formula>
    </cfRule>
  </conditionalFormatting>
  <conditionalFormatting sqref="O95:P95">
    <cfRule type="expression" dxfId="489" priority="38">
      <formula>T84=1</formula>
    </cfRule>
  </conditionalFormatting>
  <conditionalFormatting sqref="O96:P96">
    <cfRule type="expression" dxfId="488" priority="21">
      <formula>T83=1</formula>
    </cfRule>
  </conditionalFormatting>
  <conditionalFormatting sqref="Q78:Q79">
    <cfRule type="expression" dxfId="487" priority="51">
      <formula>T68=1</formula>
    </cfRule>
  </conditionalFormatting>
  <conditionalFormatting sqref="Q80">
    <cfRule type="expression" dxfId="486" priority="43">
      <formula>S69=1</formula>
    </cfRule>
  </conditionalFormatting>
  <conditionalFormatting sqref="Q81">
    <cfRule type="expression" dxfId="485" priority="42">
      <formula>S69=1</formula>
    </cfRule>
  </conditionalFormatting>
  <conditionalFormatting sqref="Q37:R44">
    <cfRule type="expression" dxfId="484" priority="30">
      <formula>T34=1</formula>
    </cfRule>
  </conditionalFormatting>
  <conditionalFormatting sqref="Q45:R45">
    <cfRule type="expression" dxfId="483" priority="44">
      <formula>T37=1</formula>
    </cfRule>
  </conditionalFormatting>
  <conditionalFormatting sqref="Q46:R46">
    <cfRule type="expression" dxfId="482" priority="22">
      <formula>T37=1</formula>
    </cfRule>
  </conditionalFormatting>
  <conditionalFormatting sqref="Q47:R49">
    <cfRule type="expression" dxfId="481" priority="28">
      <formula>T37=1</formula>
    </cfRule>
  </conditionalFormatting>
  <conditionalFormatting sqref="Q54:R57">
    <cfRule type="expression" dxfId="480" priority="31">
      <formula>T51=1</formula>
    </cfRule>
  </conditionalFormatting>
  <conditionalFormatting sqref="Q58:R63">
    <cfRule type="expression" dxfId="479" priority="23">
      <formula>T52=1</formula>
    </cfRule>
  </conditionalFormatting>
  <conditionalFormatting sqref="Q64:R64">
    <cfRule type="expression" dxfId="478" priority="50">
      <formula>T53=1</formula>
    </cfRule>
  </conditionalFormatting>
  <conditionalFormatting sqref="Q70:R76">
    <cfRule type="expression" dxfId="477" priority="36">
      <formula>T66=1</formula>
    </cfRule>
  </conditionalFormatting>
  <conditionalFormatting sqref="Q77:R77">
    <cfRule type="expression" dxfId="476" priority="29">
      <formula>T68=1</formula>
    </cfRule>
  </conditionalFormatting>
  <conditionalFormatting sqref="Q101:R106 Q107:Q112 R109">
    <cfRule type="expression" dxfId="475" priority="39">
      <formula>T99=1</formula>
    </cfRule>
  </conditionalFormatting>
  <conditionalFormatting sqref="Q113:R113">
    <cfRule type="expression" dxfId="474" priority="34">
      <formula>#REF!=1</formula>
    </cfRule>
  </conditionalFormatting>
  <conditionalFormatting sqref="R78:R79">
    <cfRule type="expression" dxfId="473" priority="46">
      <formula>U67=1</formula>
    </cfRule>
  </conditionalFormatting>
  <conditionalFormatting sqref="R80">
    <cfRule type="expression" dxfId="472" priority="52">
      <formula>U67=1</formula>
    </cfRule>
  </conditionalFormatting>
  <conditionalFormatting sqref="R81">
    <cfRule type="expression" dxfId="471" priority="53">
      <formula>U69=1</formula>
    </cfRule>
  </conditionalFormatting>
  <conditionalFormatting sqref="R107:R108">
    <cfRule type="expression" dxfId="470" priority="55">
      <formula>U101=1</formula>
    </cfRule>
  </conditionalFormatting>
  <conditionalFormatting sqref="R110:R112">
    <cfRule type="expression" dxfId="469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64E216E-FD30-4C19-A9AC-49D099BDDF8B}">
          <x14:formula1>
            <xm:f>'Grade Pós'!$A:$A</xm:f>
          </x14:formula1>
          <xm:sqref>A23:A31</xm:sqref>
        </x14:dataValidation>
        <x14:dataValidation type="list" allowBlank="1" showInputMessage="1" showErrorMessage="1" xr:uid="{7502CAF8-4C2E-4CBD-A1DE-E9883828AD65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CB739C5E-12F3-4370-B52F-DEFEAB03D75B}">
          <x14:formula1>
            <xm:f>Profs!$A:$A</xm:f>
          </x14:formula1>
          <xm:sqref>A5</xm:sqref>
        </x14:dataValidation>
        <x14:dataValidation type="list" allowBlank="1" showInputMessage="1" showErrorMessage="1" xr:uid="{99832280-0E06-4DA3-9BB2-1D9F09B5A314}">
          <x14:formula1>
            <xm:f>Dados!$A$108:$A$109</xm:f>
          </x14:formula1>
          <xm:sqref>D54:D64</xm:sqref>
        </x14:dataValidation>
        <x14:dataValidation type="list" allowBlank="1" showInputMessage="1" showErrorMessage="1" xr:uid="{E9502D41-255E-47D2-B980-6ED4E4B60016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8F9C52D0-B1BF-4751-8FA7-5D405BB0087C}">
          <x14:formula1>
            <xm:f>Dados!$A$44:$A$78</xm:f>
          </x14:formula1>
          <xm:sqref>A101:A112</xm:sqref>
        </x14:dataValidation>
        <x14:dataValidation type="list" allowBlank="1" showInputMessage="1" showErrorMessage="1" xr:uid="{BB3E3BFC-3E6D-4AA3-A1CD-7B3967E81824}">
          <x14:formula1>
            <xm:f>Dados!$A$95:$A$99</xm:f>
          </x14:formula1>
          <xm:sqref>D68</xm:sqref>
        </x14:dataValidation>
        <x14:dataValidation type="list" allowBlank="1" showInputMessage="1" showErrorMessage="1" xr:uid="{2073B84E-B9D9-4489-AFCA-FEF066A8D259}">
          <x14:formula1>
            <xm:f>Dados!$A$85:$A$90</xm:f>
          </x14:formula1>
          <xm:sqref>A37:A49</xm:sqref>
        </x14:dataValidation>
        <x14:dataValidation type="list" allowBlank="1" showInputMessage="1" showErrorMessage="1" xr:uid="{B14E33E9-91A1-4F95-AABF-2F304B0FB746}">
          <x14:formula1>
            <xm:f>Dados!$A$38:$A$39</xm:f>
          </x14:formula1>
          <xm:sqref>H35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B02F-FD57-475A-9350-497E1808A440}">
  <sheetPr>
    <pageSetUpPr fitToPage="1"/>
  </sheetPr>
  <dimension ref="A1:W148"/>
  <sheetViews>
    <sheetView showGridLines="0" zoomScale="73" zoomScaleNormal="73" workbookViewId="0">
      <selection activeCell="A37" sqref="A37:C37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416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196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5ª</v>
      </c>
      <c r="G12" s="184"/>
      <c r="H12" s="73">
        <v>4</v>
      </c>
      <c r="I12" s="73">
        <v>0</v>
      </c>
      <c r="J12" s="180">
        <v>4</v>
      </c>
      <c r="K12" s="181"/>
      <c r="L12" s="2">
        <f t="shared" ref="L12:L21" si="0">SUM(H12:I12)</f>
        <v>4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</v>
      </c>
      <c r="R12" s="54">
        <f t="shared" ref="R12:R21" si="5">IFERROR(_xlfn.IFS($M$32=1,L12,$M$32=2,L12,$M$32=3,(L12*1.3),$M$32&gt;3,(L12*1.5)),0)</f>
        <v>4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IFERROR(VLOOKUP(Jefferson!$A23,'Grade Pós'!A:B,2,0),"")</f>
        <v>PROGRAMA</v>
      </c>
      <c r="E23" s="200"/>
      <c r="F23" s="200"/>
      <c r="G23" s="184"/>
      <c r="H23" s="180">
        <v>4</v>
      </c>
      <c r="I23" s="182"/>
      <c r="J23" s="185">
        <v>4</v>
      </c>
      <c r="K23" s="185"/>
      <c r="L23" s="2">
        <f>SUM(H23:I23)</f>
        <v>4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2</v>
      </c>
      <c r="R23" s="54">
        <f t="shared" ref="R23:R32" si="9">IFERROR(_xlfn.IFS($M$32=1,L23,$M$32=2,L23,$M$32=3,(L23*1.3),$M$32&gt;3,(L23*1.5)),0)</f>
        <v>4</v>
      </c>
    </row>
    <row r="24" spans="1:22" ht="26.25" customHeight="1" x14ac:dyDescent="0.25">
      <c r="A24" s="180"/>
      <c r="B24" s="181"/>
      <c r="C24" s="182"/>
      <c r="D24" s="183" t="str">
        <f>IFERROR(VLOOKUP(Jefferson!$A24,'Grade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IFERROR(VLOOKUP(Jefferson!$A25,'Grade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IFERROR(VLOOKUP(Jefferson!$A26,'Grade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IFERROR(VLOOKUP(Jefferson!$A27,'Grade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IFERROR(VLOOKUP(Jefferson!$A28,'Grade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IFERROR(VLOOKUP(Jefferson!$A29,'Grade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IFERROR(VLOOKUP(Jefferson!$A30,'Grade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IFERROR(VLOOKUP(Jefferson!$A31,'Grade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4</v>
      </c>
      <c r="K32" s="99">
        <f>SUM(J12:J31)</f>
        <v>8</v>
      </c>
      <c r="L32" s="4">
        <f>SUM(L12:L31)</f>
        <v>8</v>
      </c>
      <c r="M32" s="5">
        <f>SUM(M12:M31)</f>
        <v>2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4</v>
      </c>
      <c r="R32" s="101">
        <f t="shared" si="9"/>
        <v>8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115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2</v>
      </c>
    </row>
    <row r="38" spans="1:22" x14ac:dyDescent="0.25">
      <c r="A38" s="180" t="s">
        <v>115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2</v>
      </c>
    </row>
    <row r="39" spans="1:22" x14ac:dyDescent="0.25">
      <c r="A39" s="180" t="s">
        <v>113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2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3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6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7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IFERROR(VLOOKUP(Jefferson!$D54,Tabela20[],2,0),0)</f>
        <v>0</v>
      </c>
      <c r="R54" s="54">
        <f>IFERROR(VLOOKUP(Jefferson!$D54,Tabela20[],3,0),0)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IFERROR(VLOOKUP(Jefferson!$D55,Tabela20[],2,0),0)</f>
        <v>0</v>
      </c>
      <c r="R55" s="54">
        <f>IFERROR(VLOOKUP(Jefferson!$D55,Tabela20[],3,0),0)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IFERROR(VLOOKUP(Jefferson!$D56,Tabela20[],2,0),0)</f>
        <v>0</v>
      </c>
      <c r="R56" s="54">
        <f>IFERROR(VLOOKUP(Jefferson!$D56,Tabela20[],3,0),0)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IFERROR(VLOOKUP(Jefferson!$D57,Tabela20[],2,0),0)</f>
        <v>0</v>
      </c>
      <c r="R57" s="54">
        <f>IFERROR(VLOOKUP(Jefferson!$D57,Tabela20[],3,0),0)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IFERROR(VLOOKUP(Jefferson!$D58,Tabela20[],2,0),0)</f>
        <v>0</v>
      </c>
      <c r="R58" s="54">
        <f>IFERROR(VLOOKUP(Jefferson!$D58,Tabela20[],3,0),0)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IFERROR(VLOOKUP(Jefferson!$D59,Tabela20[],2,0),0)</f>
        <v>0</v>
      </c>
      <c r="R59" s="54">
        <f>IFERROR(VLOOKUP(Jefferson!$D59,Tabela20[],3,0),0)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IFERROR(VLOOKUP(Jefferson!$D60,Tabela20[],2,0),0)</f>
        <v>0</v>
      </c>
      <c r="R60" s="54">
        <f>IFERROR(VLOOKUP(Jefferson!$D60,Tabela20[],3,0),0)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IFERROR(VLOOKUP(Jefferson!$D61,Tabela20[],2,0),0)</f>
        <v>0</v>
      </c>
      <c r="R61" s="54">
        <f>IFERROR(VLOOKUP(Jefferson!$D61,Tabela20[],3,0),0)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IFERROR(VLOOKUP(Jefferson!$D62,Tabela20[],2,0),0)</f>
        <v>0</v>
      </c>
      <c r="R62" s="54">
        <f>IFERROR(VLOOKUP(Jefferson!$D62,Tabela20[],3,0),0)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IFERROR(VLOOKUP(Jefferson!$D63,Tabela20[],2,0),0)</f>
        <v>0</v>
      </c>
      <c r="R63" s="54">
        <f>IFERROR(VLOOKUP(Jefferson!$D63,Tabela20[],3,0),0)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IFERROR(VLOOKUP(Jefferson!$D64,Tabela20[],2,0),0)</f>
        <v>0</v>
      </c>
      <c r="R64" s="114">
        <f>IFERROR(VLOOKUP(Jefferson!$D64,Tabela20[],3,0),0)</f>
        <v>0</v>
      </c>
    </row>
    <row r="65" spans="1:23" s="89" customFormat="1" hidden="1" x14ac:dyDescent="0.25">
      <c r="A65" s="89" t="s">
        <v>756</v>
      </c>
      <c r="F65" s="124">
        <f>SUM(Jefferson!$F$54:$F$64)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5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IFERROR(VLOOKUP(Jefferson!$D70,Tabela11[],2),0)</f>
        <v>0</v>
      </c>
      <c r="R70" s="54">
        <f>IFERROR(VLOOKUP(Jefferson!$D70,Tabela11[],3),0)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5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IFERROR(VLOOKUP(Jefferson!$D71,Tabela11[],2),0)</f>
        <v>0</v>
      </c>
      <c r="R71" s="54">
        <f>IFERROR(VLOOKUP(Jefferson!$D71,Tabela11[],3),0)</f>
        <v>6</v>
      </c>
    </row>
    <row r="72" spans="1:23" x14ac:dyDescent="0.25">
      <c r="A72" s="180"/>
      <c r="B72" s="181"/>
      <c r="C72" s="182"/>
      <c r="D72" s="180" t="s">
        <v>791</v>
      </c>
      <c r="E72" s="182"/>
      <c r="F72" s="73">
        <v>5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IFERROR(VLOOKUP(Jefferson!$D72,Tabela11[],2),0)</f>
        <v>0</v>
      </c>
      <c r="R72" s="54">
        <f>IFERROR(VLOOKUP(Jefferson!$D72,Tabela11[],3),0)</f>
        <v>6</v>
      </c>
    </row>
    <row r="73" spans="1:23" x14ac:dyDescent="0.25">
      <c r="A73" s="180"/>
      <c r="B73" s="181"/>
      <c r="C73" s="182"/>
      <c r="D73" s="180" t="s">
        <v>793</v>
      </c>
      <c r="E73" s="182"/>
      <c r="F73" s="73">
        <v>2</v>
      </c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IFERROR(VLOOKUP(Jefferson!$D73,Tabela11[],2),0)</f>
        <v>0</v>
      </c>
      <c r="R73" s="54">
        <f>IFERROR(VLOOKUP(Jefferson!$D73,Tabela11[],3),0)</f>
        <v>2</v>
      </c>
    </row>
    <row r="74" spans="1:23" x14ac:dyDescent="0.25">
      <c r="A74" s="180"/>
      <c r="B74" s="181"/>
      <c r="C74" s="182"/>
      <c r="D74" s="180" t="s">
        <v>793</v>
      </c>
      <c r="E74" s="182"/>
      <c r="F74" s="73">
        <v>2</v>
      </c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IFERROR(VLOOKUP(Jefferson!$D74,Tabela11[],2),0)</f>
        <v>0</v>
      </c>
      <c r="R74" s="54">
        <f>IFERROR(VLOOKUP(Jefferson!$D74,Tabela11[],3),0)</f>
        <v>2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IFERROR(VLOOKUP(Jefferson!$D75,Tabela11[],2),0)</f>
        <v>0</v>
      </c>
      <c r="R75" s="54">
        <f>IFERROR(VLOOKUP(Jefferson!$D75,Tabela11[],3),0)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IFERROR(VLOOKUP(Jefferson!$D76,Tabela11[],2),0)</f>
        <v>0</v>
      </c>
      <c r="R76" s="54">
        <f>IFERROR(VLOOKUP(Jefferson!$D76,Tabela11[],3),0)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IFERROR(VLOOKUP(Jefferson!$D77,Tabela11[],2),0)</f>
        <v>0</v>
      </c>
      <c r="R77" s="54">
        <f>IFERROR(VLOOKUP(Jefferson!$D77,Tabela11[],3),0)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IFERROR(VLOOKUP(Jefferson!$D78,Tabela11[],2),0)</f>
        <v>0</v>
      </c>
      <c r="R78" s="54">
        <f>IFERROR(VLOOKUP(Jefferson!$D78,Tabela11[],3),0)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IFERROR(VLOOKUP(Jefferson!$D79,Tabela11[],2),0)</f>
        <v>0</v>
      </c>
      <c r="R79" s="54">
        <f>IFERROR(VLOOKUP(Jefferson!$D79,Tabela11[],3),0)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IFERROR(VLOOKUP(Jefferson!$D80,Tabela11[],2),0)</f>
        <v>0</v>
      </c>
      <c r="R80" s="114">
        <f>IFERROR(VLOOKUP(Jefferson!$D80,Tabela11[],3),0)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19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IFERROR(VLOOKUP(Jefferson!$D85,Tabela21[],2,0),0)</f>
        <v>0</v>
      </c>
      <c r="P85" s="54">
        <f>IFERROR(VLOOKUP(Jefferson!$D85,Tabela21[],3,0),0)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IFERROR(VLOOKUP(Jefferson!$D86,Tabela21[],2,0),0)</f>
        <v>0</v>
      </c>
      <c r="P86" s="54">
        <f>IFERROR(VLOOKUP(Jefferson!$D86,Tabela21[],3,0),0)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IFERROR(VLOOKUP(Jefferson!$D87,Tabela21[],2,0),0)</f>
        <v>0</v>
      </c>
      <c r="P87" s="54">
        <f>IFERROR(VLOOKUP(Jefferson!$D87,Tabela21[],3,0),0)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IFERROR(VLOOKUP(Jefferson!$D88,Tabela21[],2,0),0)</f>
        <v>0</v>
      </c>
      <c r="P88" s="54">
        <f>IFERROR(VLOOKUP(Jefferson!$D88,Tabela21[],3,0),0)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IFERROR(VLOOKUP(Jefferson!$D89,Tabela21[],2,0),0)</f>
        <v>0</v>
      </c>
      <c r="P89" s="54">
        <f>IFERROR(VLOOKUP(Jefferson!$D89,Tabela21[],3,0),0)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IFERROR(VLOOKUP(Jefferson!$D90,Tabela21[],2,0),0)</f>
        <v>0</v>
      </c>
      <c r="P90" s="54">
        <f>IFERROR(VLOOKUP(Jefferson!$D90,Tabela21[],3,0),0)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IFERROR(VLOOKUP(Jefferson!$D91,Tabela21[],2,0),0)</f>
        <v>0</v>
      </c>
      <c r="P91" s="54">
        <f>IFERROR(VLOOKUP(Jefferson!$D91,Tabela21[],3,0),0)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IFERROR(VLOOKUP(Jefferson!$D92,Tabela21[],2,0),0)</f>
        <v>0</v>
      </c>
      <c r="P92" s="54">
        <f>IFERROR(VLOOKUP(Jefferson!$D92,Tabela21[],3,0),0)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IFERROR(VLOOKUP(Jefferson!$D93,Tabela21[],2,0),0)</f>
        <v>0</v>
      </c>
      <c r="P93" s="54">
        <f>IFERROR(VLOOKUP(Jefferson!$D93,Tabela21[],3,0),0)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IFERROR(VLOOKUP(Jefferson!$D94,Tabela21[],2,0),0)</f>
        <v>0</v>
      </c>
      <c r="P94" s="54">
        <f>IFERROR(VLOOKUP(Jefferson!$D94,Tabela21[],3,0),0)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IFERROR(VLOOKUP(Jefferson!$D95,Tabela21[],2,0),0)</f>
        <v>0</v>
      </c>
      <c r="P95" s="54">
        <f>IFERROR(VLOOKUP(Jefferson!$D95,Tabela21[],3,0),0)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IFERROR(VLOOKUP(Jefferson!$D96,Tabela21[],2,0),0)</f>
        <v>0</v>
      </c>
      <c r="P96" s="54">
        <f>IFERROR(VLOOKUP(Jefferson!$D96,Tabela21[],3,0),0)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IFERROR(VLOOKUP(Jefferson!$D97,Tabela21[],2,0),0)</f>
        <v>0</v>
      </c>
      <c r="P97" s="136">
        <f>IFERROR(VLOOKUP(Jefferson!$D97,Tabela21[],3,0),0)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IFERROR(VLOOKUP(Jefferson!$A101,TFunçõesAdm[],3,0),40)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IFERROR(VLOOKUP(Jefferson!$A102,TFunçõesAdm[],3,0),40)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IFERROR(VLOOKUP(Jefferson!$A103,TFunçõesAdm[],3,0),40)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IFERROR(VLOOKUP(Jefferson!$A104,TFunçõesAdm[],3,0),40)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IFERROR(VLOOKUP(Jefferson!$A105,TFunçõesAdm[],3,0),40)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IFERROR(VLOOKUP(Jefferson!$A106,TFunçõesAdm[],3,0),40)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IFERROR(VLOOKUP(Jefferson!$A107,TFunçõesAdm[],3,0),40)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IFERROR(VLOOKUP(Jefferson!$A108,TFunçõesAdm[],3,0),40)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IFERROR(VLOOKUP(Jefferson!$A109,TFunçõesAdm[],3,0),40)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IFERROR(VLOOKUP(Jefferson!$A110,TFunçõesAdm[],3,0),40)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IFERROR(VLOOKUP(Jefferson!$A111,TFunçõesAdm[],3,0),40)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IFERROR(VLOOKUP(Jefferson!$A112,TFunçõesAdm[],3,0),40)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5</v>
      </c>
      <c r="G113" s="124"/>
      <c r="H113" s="89"/>
      <c r="I113" s="124"/>
      <c r="J113" s="124"/>
      <c r="K113" s="89"/>
      <c r="L113" s="104">
        <f>MIN(Jefferson!$L$101:$L$112)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SUM(Jefferson!$F$123:$F$124)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8</v>
      </c>
      <c r="B134" s="143">
        <f>K32</f>
        <v>8</v>
      </c>
      <c r="C134" s="143">
        <f>K50</f>
        <v>6</v>
      </c>
      <c r="D134" s="143">
        <f>F65</f>
        <v>0</v>
      </c>
      <c r="E134" s="143">
        <f>F81</f>
        <v>19</v>
      </c>
      <c r="F134" s="143">
        <f>F97</f>
        <v>0</v>
      </c>
      <c r="G134" s="143">
        <f>F113</f>
        <v>5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46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Jefferson Luís Meirelles Coimbra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4</v>
      </c>
      <c r="G148" s="71">
        <f>SUM(H23:I31)</f>
        <v>4</v>
      </c>
      <c r="H148" s="71">
        <f>B134</f>
        <v>8</v>
      </c>
      <c r="I148" s="71">
        <f>C134</f>
        <v>6</v>
      </c>
      <c r="J148" s="71">
        <f>E134</f>
        <v>19</v>
      </c>
      <c r="K148" s="71">
        <f>F134</f>
        <v>0</v>
      </c>
      <c r="Q148" s="71">
        <v>0</v>
      </c>
      <c r="R148" s="71">
        <f>D134</f>
        <v>0</v>
      </c>
      <c r="S148" s="71">
        <f>G134</f>
        <v>5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46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468" priority="26">
      <formula>se+$A$134&lt;$L$35</formula>
    </cfRule>
    <cfRule type="cellIs" dxfId="467" priority="25" operator="lessThan">
      <formula>M35</formula>
    </cfRule>
  </conditionalFormatting>
  <conditionalFormatting sqref="B134">
    <cfRule type="expression" dxfId="466" priority="35">
      <formula>P32=1</formula>
    </cfRule>
  </conditionalFormatting>
  <conditionalFormatting sqref="E134">
    <cfRule type="expression" dxfId="465" priority="20">
      <formula>($E$134&gt;$L$68)</formula>
    </cfRule>
  </conditionalFormatting>
  <conditionalFormatting sqref="F54:F64">
    <cfRule type="cellIs" dxfId="464" priority="18" operator="greaterThan">
      <formula>R54</formula>
    </cfRule>
  </conditionalFormatting>
  <conditionalFormatting sqref="F101:F112">
    <cfRule type="cellIs" dxfId="463" priority="3" operator="notBetween">
      <formula>Q101</formula>
      <formula>R101</formula>
    </cfRule>
  </conditionalFormatting>
  <conditionalFormatting sqref="F70:G80">
    <cfRule type="cellIs" dxfId="462" priority="2" operator="notBetween">
      <formula>Q70</formula>
      <formula>R70</formula>
    </cfRule>
  </conditionalFormatting>
  <conditionalFormatting sqref="J12:J21">
    <cfRule type="expression" dxfId="461" priority="9">
      <formula>P12=1</formula>
    </cfRule>
  </conditionalFormatting>
  <conditionalFormatting sqref="J23:J31">
    <cfRule type="expression" dxfId="460" priority="1">
      <formula>P23=1</formula>
    </cfRule>
  </conditionalFormatting>
  <conditionalFormatting sqref="K37:K49">
    <cfRule type="expression" dxfId="459" priority="27">
      <formula>(K37&gt;R37)</formula>
    </cfRule>
  </conditionalFormatting>
  <conditionalFormatting sqref="K134">
    <cfRule type="cellIs" dxfId="458" priority="33" operator="notEqual">
      <formula>40</formula>
    </cfRule>
  </conditionalFormatting>
  <conditionalFormatting sqref="O85:P91">
    <cfRule type="expression" dxfId="457" priority="47">
      <formula>T82=1</formula>
    </cfRule>
  </conditionalFormatting>
  <conditionalFormatting sqref="O92:P92">
    <cfRule type="expression" dxfId="456" priority="54">
      <formula>T84=1</formula>
    </cfRule>
  </conditionalFormatting>
  <conditionalFormatting sqref="O93:P93">
    <cfRule type="expression" dxfId="455" priority="49">
      <formula>T84=1</formula>
    </cfRule>
  </conditionalFormatting>
  <conditionalFormatting sqref="O94:P94">
    <cfRule type="expression" dxfId="454" priority="48">
      <formula>T84=1</formula>
    </cfRule>
  </conditionalFormatting>
  <conditionalFormatting sqref="O95:P95">
    <cfRule type="expression" dxfId="453" priority="38">
      <formula>T84=1</formula>
    </cfRule>
  </conditionalFormatting>
  <conditionalFormatting sqref="O96:P96">
    <cfRule type="expression" dxfId="452" priority="21">
      <formula>T83=1</formula>
    </cfRule>
  </conditionalFormatting>
  <conditionalFormatting sqref="Q78:Q79">
    <cfRule type="expression" dxfId="451" priority="51">
      <formula>T68=1</formula>
    </cfRule>
  </conditionalFormatting>
  <conditionalFormatting sqref="Q80">
    <cfRule type="expression" dxfId="450" priority="43">
      <formula>S69=1</formula>
    </cfRule>
  </conditionalFormatting>
  <conditionalFormatting sqref="Q81">
    <cfRule type="expression" dxfId="449" priority="42">
      <formula>S69=1</formula>
    </cfRule>
  </conditionalFormatting>
  <conditionalFormatting sqref="Q37:R44">
    <cfRule type="expression" dxfId="448" priority="30">
      <formula>T34=1</formula>
    </cfRule>
  </conditionalFormatting>
  <conditionalFormatting sqref="Q45:R45">
    <cfRule type="expression" dxfId="447" priority="44">
      <formula>T37=1</formula>
    </cfRule>
  </conditionalFormatting>
  <conditionalFormatting sqref="Q46:R46">
    <cfRule type="expression" dxfId="446" priority="22">
      <formula>T37=1</formula>
    </cfRule>
  </conditionalFormatting>
  <conditionalFormatting sqref="Q47:R49">
    <cfRule type="expression" dxfId="445" priority="28">
      <formula>T37=1</formula>
    </cfRule>
  </conditionalFormatting>
  <conditionalFormatting sqref="Q54:R57">
    <cfRule type="expression" dxfId="444" priority="31">
      <formula>T51=1</formula>
    </cfRule>
  </conditionalFormatting>
  <conditionalFormatting sqref="Q58:R63">
    <cfRule type="expression" dxfId="443" priority="23">
      <formula>T52=1</formula>
    </cfRule>
  </conditionalFormatting>
  <conditionalFormatting sqref="Q64:R64">
    <cfRule type="expression" dxfId="442" priority="50">
      <formula>T53=1</formula>
    </cfRule>
  </conditionalFormatting>
  <conditionalFormatting sqref="Q70:R76">
    <cfRule type="expression" dxfId="441" priority="36">
      <formula>T66=1</formula>
    </cfRule>
  </conditionalFormatting>
  <conditionalFormatting sqref="Q77:R77">
    <cfRule type="expression" dxfId="440" priority="29">
      <formula>T68=1</formula>
    </cfRule>
  </conditionalFormatting>
  <conditionalFormatting sqref="Q101:R106 Q107:Q112 R109">
    <cfRule type="expression" dxfId="439" priority="39">
      <formula>T99=1</formula>
    </cfRule>
  </conditionalFormatting>
  <conditionalFormatting sqref="Q113:R113">
    <cfRule type="expression" dxfId="438" priority="34">
      <formula>#REF!=1</formula>
    </cfRule>
  </conditionalFormatting>
  <conditionalFormatting sqref="R78:R79">
    <cfRule type="expression" dxfId="437" priority="46">
      <formula>U67=1</formula>
    </cfRule>
  </conditionalFormatting>
  <conditionalFormatting sqref="R80">
    <cfRule type="expression" dxfId="436" priority="52">
      <formula>U67=1</formula>
    </cfRule>
  </conditionalFormatting>
  <conditionalFormatting sqref="R81">
    <cfRule type="expression" dxfId="435" priority="53">
      <formula>U69=1</formula>
    </cfRule>
  </conditionalFormatting>
  <conditionalFormatting sqref="R107:R108">
    <cfRule type="expression" dxfId="434" priority="55">
      <formula>U101=1</formula>
    </cfRule>
  </conditionalFormatting>
  <conditionalFormatting sqref="R110:R112">
    <cfRule type="expression" dxfId="433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AE41F13-E743-4533-8CCF-4D30EC1E0CE6}">
          <x14:formula1>
            <xm:f>'Grade Pós'!$A:$A</xm:f>
          </x14:formula1>
          <xm:sqref>A23:A31</xm:sqref>
        </x14:dataValidation>
        <x14:dataValidation type="list" allowBlank="1" showInputMessage="1" showErrorMessage="1" xr:uid="{506424C2-2C7E-4B18-A7E5-1AB9196D5B42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D75B8BCC-0A84-4A5D-B355-D29C8C1DC986}">
          <x14:formula1>
            <xm:f>Profs!$A:$A</xm:f>
          </x14:formula1>
          <xm:sqref>A5</xm:sqref>
        </x14:dataValidation>
        <x14:dataValidation type="list" allowBlank="1" showInputMessage="1" showErrorMessage="1" xr:uid="{6F5ACE9A-4851-43C5-A2A1-452E08E23BC7}">
          <x14:formula1>
            <xm:f>Dados!$A$108:$A$109</xm:f>
          </x14:formula1>
          <xm:sqref>D54:D64</xm:sqref>
        </x14:dataValidation>
        <x14:dataValidation type="list" allowBlank="1" showInputMessage="1" showErrorMessage="1" xr:uid="{F818D2D8-1578-408B-89B0-4FA3599E2CEE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9C1AEC3B-58CB-4597-994A-E2F4CC3E85C2}">
          <x14:formula1>
            <xm:f>Dados!$A$44:$A$78</xm:f>
          </x14:formula1>
          <xm:sqref>A101:A112</xm:sqref>
        </x14:dataValidation>
        <x14:dataValidation type="list" allowBlank="1" showInputMessage="1" showErrorMessage="1" xr:uid="{9F33CAEB-FAAE-41E9-B645-61DD339E9EC0}">
          <x14:formula1>
            <xm:f>Dados!$A$95:$A$99</xm:f>
          </x14:formula1>
          <xm:sqref>D68</xm:sqref>
        </x14:dataValidation>
        <x14:dataValidation type="list" allowBlank="1" showInputMessage="1" showErrorMessage="1" xr:uid="{E03A37A8-CBC6-4129-96D7-029D87A0B5DE}">
          <x14:formula1>
            <xm:f>Dados!$A$85:$A$90</xm:f>
          </x14:formula1>
          <xm:sqref>A37:A49</xm:sqref>
        </x14:dataValidation>
        <x14:dataValidation type="list" allowBlank="1" showInputMessage="1" showErrorMessage="1" xr:uid="{C5640323-85DC-42E6-ACA1-0A82746FAA2B}">
          <x14:formula1>
            <xm:f>Dados!$A$38:$A$39</xm:f>
          </x14:formula1>
          <xm:sqref>H35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B82C-BB9D-4068-8E84-769F8FBAD9A8}">
  <sheetPr>
    <pageSetUpPr fitToPage="1"/>
  </sheetPr>
  <dimension ref="A1:W148"/>
  <sheetViews>
    <sheetView showGridLines="0" zoomScale="64" zoomScaleNormal="64" workbookViewId="0">
      <selection activeCell="J13" sqref="J13:K13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418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211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8ª</v>
      </c>
      <c r="G12" s="184"/>
      <c r="H12" s="73">
        <v>1</v>
      </c>
      <c r="I12" s="73">
        <v>4</v>
      </c>
      <c r="J12" s="180">
        <v>3.5</v>
      </c>
      <c r="K12" s="181"/>
      <c r="L12" s="2">
        <f t="shared" ref="L12:L21" si="0">SUM(H12:I12)</f>
        <v>5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2.5</v>
      </c>
      <c r="R12" s="54">
        <f t="shared" ref="R12:R21" si="5">IFERROR(_xlfn.IFS($M$32=1,L12,$M$32=2,L12,$M$32=3,(L12*1.3),$M$32&gt;3,(L12*1.5)),0)</f>
        <v>5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IFERROR(VLOOKUP(Leo!$A23,'Grade Pós'!A:B,2,0),"")</f>
        <v>PROGRAMA</v>
      </c>
      <c r="E23" s="200"/>
      <c r="F23" s="200"/>
      <c r="G23" s="184"/>
      <c r="H23" s="180">
        <v>3</v>
      </c>
      <c r="I23" s="182"/>
      <c r="J23" s="185">
        <v>1.5</v>
      </c>
      <c r="K23" s="185"/>
      <c r="L23" s="2">
        <f>SUM(H23:I23)</f>
        <v>3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1.5</v>
      </c>
      <c r="R23" s="54">
        <f t="shared" ref="R23:R32" si="9">IFERROR(_xlfn.IFS($M$32=1,L23,$M$32=2,L23,$M$32=3,(L23*1.3),$M$32&gt;3,(L23*1.5)),0)</f>
        <v>3</v>
      </c>
    </row>
    <row r="24" spans="1:22" ht="26.25" customHeight="1" x14ac:dyDescent="0.25">
      <c r="A24" s="180"/>
      <c r="B24" s="181"/>
      <c r="C24" s="182"/>
      <c r="D24" s="183" t="str">
        <f>IFERROR(VLOOKUP(Leo!$A24,'Grade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IFERROR(VLOOKUP(Leo!$A25,'Grade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IFERROR(VLOOKUP(Leo!$A26,'Grade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IFERROR(VLOOKUP(Leo!$A27,'Grade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IFERROR(VLOOKUP(Leo!$A28,'Grade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IFERROR(VLOOKUP(Leo!$A29,'Grade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IFERROR(VLOOKUP(Leo!$A30,'Grade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IFERROR(VLOOKUP(Leo!$A31,'Grade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3.5</v>
      </c>
      <c r="K32" s="99">
        <f>SUM(J12:J31)</f>
        <v>5</v>
      </c>
      <c r="L32" s="4">
        <f>SUM(L12:L31)</f>
        <v>8</v>
      </c>
      <c r="M32" s="5">
        <f>SUM(M12:M31)</f>
        <v>2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4</v>
      </c>
      <c r="R32" s="101">
        <f t="shared" si="9"/>
        <v>8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113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3</v>
      </c>
    </row>
    <row r="38" spans="1:22" x14ac:dyDescent="0.25">
      <c r="A38" s="180" t="s">
        <v>115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2</v>
      </c>
    </row>
    <row r="39" spans="1:22" x14ac:dyDescent="0.25">
      <c r="A39" s="180" t="s">
        <v>115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2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2</v>
      </c>
    </row>
    <row r="40" spans="1:22" x14ac:dyDescent="0.25">
      <c r="A40" s="180" t="s">
        <v>113</v>
      </c>
      <c r="B40" s="181"/>
      <c r="C40" s="182"/>
      <c r="D40" s="180"/>
      <c r="E40" s="181"/>
      <c r="F40" s="181"/>
      <c r="G40" s="182"/>
      <c r="H40" s="73"/>
      <c r="I40" s="180"/>
      <c r="J40" s="182"/>
      <c r="K40" s="73">
        <v>2</v>
      </c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3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8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10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IFERROR(VLOOKUP(Leo!$D54,Tabela20[],2,0),0)</f>
        <v>0</v>
      </c>
      <c r="R54" s="54">
        <f>IFERROR(VLOOKUP(Leo!$D54,Tabela20[],3,0),0)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IFERROR(VLOOKUP(Leo!$D55,Tabela20[],2,0),0)</f>
        <v>0</v>
      </c>
      <c r="R55" s="54">
        <f>IFERROR(VLOOKUP(Leo!$D55,Tabela20[],3,0),0)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IFERROR(VLOOKUP(Leo!$D56,Tabela20[],2,0),0)</f>
        <v>0</v>
      </c>
      <c r="R56" s="54">
        <f>IFERROR(VLOOKUP(Leo!$D56,Tabela20[],3,0),0)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IFERROR(VLOOKUP(Leo!$D57,Tabela20[],2,0),0)</f>
        <v>0</v>
      </c>
      <c r="R57" s="54">
        <f>IFERROR(VLOOKUP(Leo!$D57,Tabela20[],3,0),0)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IFERROR(VLOOKUP(Leo!$D58,Tabela20[],2,0),0)</f>
        <v>0</v>
      </c>
      <c r="R58" s="54">
        <f>IFERROR(VLOOKUP(Leo!$D58,Tabela20[],3,0),0)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IFERROR(VLOOKUP(Leo!$D59,Tabela20[],2,0),0)</f>
        <v>0</v>
      </c>
      <c r="R59" s="54">
        <f>IFERROR(VLOOKUP(Leo!$D59,Tabela20[],3,0),0)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IFERROR(VLOOKUP(Leo!$D60,Tabela20[],2,0),0)</f>
        <v>0</v>
      </c>
      <c r="R60" s="54">
        <f>IFERROR(VLOOKUP(Leo!$D60,Tabela20[],3,0),0)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IFERROR(VLOOKUP(Leo!$D61,Tabela20[],2,0),0)</f>
        <v>0</v>
      </c>
      <c r="R61" s="54">
        <f>IFERROR(VLOOKUP(Leo!$D61,Tabela20[],3,0),0)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IFERROR(VLOOKUP(Leo!$D62,Tabela20[],2,0),0)</f>
        <v>0</v>
      </c>
      <c r="R62" s="54">
        <f>IFERROR(VLOOKUP(Leo!$D62,Tabela20[],3,0),0)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IFERROR(VLOOKUP(Leo!$D63,Tabela20[],2,0),0)</f>
        <v>0</v>
      </c>
      <c r="R63" s="54">
        <f>IFERROR(VLOOKUP(Leo!$D63,Tabela20[],3,0),0)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IFERROR(VLOOKUP(Leo!$D64,Tabela20[],2,0),0)</f>
        <v>0</v>
      </c>
      <c r="R64" s="114">
        <f>IFERROR(VLOOKUP(Leo!$D64,Tabela20[],3,0),0)</f>
        <v>0</v>
      </c>
    </row>
    <row r="65" spans="1:23" s="89" customFormat="1" hidden="1" x14ac:dyDescent="0.25">
      <c r="A65" s="89" t="s">
        <v>756</v>
      </c>
      <c r="F65" s="124">
        <f>SUM(Leo!$F$54:$F$64)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773</v>
      </c>
      <c r="E68" s="217"/>
      <c r="F68" s="217"/>
      <c r="G68" s="217"/>
      <c r="H68" s="217"/>
      <c r="L68" s="89">
        <f>VLOOKUP(D68,TabPesquisa[],3)</f>
        <v>20</v>
      </c>
      <c r="M68" s="88"/>
      <c r="N68" s="89"/>
      <c r="O68" s="89"/>
      <c r="P68" s="89"/>
      <c r="Q68" s="153" t="str">
        <f>IFERROR(VLOOKUP(D68,TabPesquisa[],2),"")</f>
        <v>Limite de horas Semanais = 20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793</v>
      </c>
      <c r="E70" s="182"/>
      <c r="F70" s="73">
        <v>2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IFERROR(VLOOKUP(Leo!$D70,Tabela11[],2),0)</f>
        <v>0</v>
      </c>
      <c r="R70" s="54">
        <f>IFERROR(VLOOKUP(Leo!$D70,Tabela11[],3),0)</f>
        <v>2</v>
      </c>
    </row>
    <row r="71" spans="1:23" ht="15" customHeight="1" x14ac:dyDescent="0.25">
      <c r="A71" s="180"/>
      <c r="B71" s="181"/>
      <c r="C71" s="182"/>
      <c r="D71" s="180" t="s">
        <v>793</v>
      </c>
      <c r="E71" s="182"/>
      <c r="F71" s="73">
        <v>1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IFERROR(VLOOKUP(Leo!$D71,Tabela11[],2),0)</f>
        <v>0</v>
      </c>
      <c r="R71" s="54">
        <f>IFERROR(VLOOKUP(Leo!$D71,Tabela11[],3),0)</f>
        <v>2</v>
      </c>
    </row>
    <row r="72" spans="1:23" x14ac:dyDescent="0.25">
      <c r="A72" s="180"/>
      <c r="B72" s="181"/>
      <c r="C72" s="182"/>
      <c r="D72" s="180" t="s">
        <v>793</v>
      </c>
      <c r="E72" s="182"/>
      <c r="F72" s="73">
        <v>2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IFERROR(VLOOKUP(Leo!$D72,Tabela11[],2),0)</f>
        <v>0</v>
      </c>
      <c r="R72" s="54">
        <f>IFERROR(VLOOKUP(Leo!$D72,Tabela11[],3),0)</f>
        <v>2</v>
      </c>
    </row>
    <row r="73" spans="1:23" x14ac:dyDescent="0.25">
      <c r="A73" s="180"/>
      <c r="B73" s="181"/>
      <c r="C73" s="182"/>
      <c r="D73" s="180" t="s">
        <v>793</v>
      </c>
      <c r="E73" s="182"/>
      <c r="F73" s="73">
        <v>1</v>
      </c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IFERROR(VLOOKUP(Leo!$D73,Tabela11[],2),0)</f>
        <v>0</v>
      </c>
      <c r="R73" s="54">
        <f>IFERROR(VLOOKUP(Leo!$D73,Tabela11[],3),0)</f>
        <v>2</v>
      </c>
    </row>
    <row r="74" spans="1:23" x14ac:dyDescent="0.25">
      <c r="A74" s="180"/>
      <c r="B74" s="181"/>
      <c r="C74" s="182"/>
      <c r="D74" s="180" t="s">
        <v>793</v>
      </c>
      <c r="E74" s="182"/>
      <c r="F74" s="73">
        <v>1</v>
      </c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IFERROR(VLOOKUP(Leo!$D74,Tabela11[],2),0)</f>
        <v>0</v>
      </c>
      <c r="R74" s="54">
        <f>IFERROR(VLOOKUP(Leo!$D74,Tabela11[],3),0)</f>
        <v>2</v>
      </c>
    </row>
    <row r="75" spans="1:23" x14ac:dyDescent="0.25">
      <c r="A75" s="180"/>
      <c r="B75" s="181"/>
      <c r="C75" s="182"/>
      <c r="D75" s="180" t="s">
        <v>793</v>
      </c>
      <c r="E75" s="182"/>
      <c r="F75" s="73">
        <v>1</v>
      </c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IFERROR(VLOOKUP(Leo!$D75,Tabela11[],2),0)</f>
        <v>0</v>
      </c>
      <c r="R75" s="54">
        <f>IFERROR(VLOOKUP(Leo!$D75,Tabela11[],3),0)</f>
        <v>2</v>
      </c>
    </row>
    <row r="76" spans="1:23" x14ac:dyDescent="0.25">
      <c r="A76" s="180"/>
      <c r="B76" s="181"/>
      <c r="C76" s="182"/>
      <c r="D76" s="180" t="s">
        <v>793</v>
      </c>
      <c r="E76" s="182"/>
      <c r="F76" s="73">
        <v>2</v>
      </c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IFERROR(VLOOKUP(Leo!$D76,Tabela11[],2),0)</f>
        <v>0</v>
      </c>
      <c r="R76" s="54">
        <f>IFERROR(VLOOKUP(Leo!$D76,Tabela11[],3),0)</f>
        <v>2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IFERROR(VLOOKUP(Leo!$D77,Tabela11[],2),0)</f>
        <v>0</v>
      </c>
      <c r="R77" s="54">
        <f>IFERROR(VLOOKUP(Leo!$D77,Tabela11[],3),0)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IFERROR(VLOOKUP(Leo!$D78,Tabela11[],2),0)</f>
        <v>0</v>
      </c>
      <c r="R78" s="54">
        <f>IFERROR(VLOOKUP(Leo!$D78,Tabela11[],3),0)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IFERROR(VLOOKUP(Leo!$D79,Tabela11[],2),0)</f>
        <v>0</v>
      </c>
      <c r="R79" s="54">
        <f>IFERROR(VLOOKUP(Leo!$D79,Tabela11[],3),0)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IFERROR(VLOOKUP(Leo!$D80,Tabela11[],2),0)</f>
        <v>0</v>
      </c>
      <c r="R80" s="114">
        <f>IFERROR(VLOOKUP(Leo!$D80,Tabela11[],3),0)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>
        <v>2</v>
      </c>
      <c r="G85" s="180"/>
      <c r="H85" s="182"/>
      <c r="I85" s="180"/>
      <c r="J85" s="182"/>
      <c r="K85" s="6"/>
      <c r="L85" s="121"/>
      <c r="M85" s="121"/>
      <c r="N85" s="122"/>
      <c r="O85" s="52">
        <f>IFERROR(VLOOKUP(Leo!$D85,Tabela21[],2,0),0)</f>
        <v>0</v>
      </c>
      <c r="P85" s="54">
        <f>IFERROR(VLOOKUP(Leo!$D85,Tabela21[],3,0),0)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IFERROR(VLOOKUP(Leo!$D86,Tabela21[],2,0),0)</f>
        <v>0</v>
      </c>
      <c r="P86" s="54">
        <f>IFERROR(VLOOKUP(Leo!$D86,Tabela21[],3,0),0)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IFERROR(VLOOKUP(Leo!$D87,Tabela21[],2,0),0)</f>
        <v>0</v>
      </c>
      <c r="P87" s="54">
        <f>IFERROR(VLOOKUP(Leo!$D87,Tabela21[],3,0),0)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IFERROR(VLOOKUP(Leo!$D88,Tabela21[],2,0),0)</f>
        <v>0</v>
      </c>
      <c r="P88" s="54">
        <f>IFERROR(VLOOKUP(Leo!$D88,Tabela21[],3,0),0)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IFERROR(VLOOKUP(Leo!$D89,Tabela21[],2,0),0)</f>
        <v>0</v>
      </c>
      <c r="P89" s="54">
        <f>IFERROR(VLOOKUP(Leo!$D89,Tabela21[],3,0),0)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IFERROR(VLOOKUP(Leo!$D90,Tabela21[],2,0),0)</f>
        <v>0</v>
      </c>
      <c r="P90" s="54">
        <f>IFERROR(VLOOKUP(Leo!$D90,Tabela21[],3,0),0)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IFERROR(VLOOKUP(Leo!$D91,Tabela21[],2,0),0)</f>
        <v>0</v>
      </c>
      <c r="P91" s="54">
        <f>IFERROR(VLOOKUP(Leo!$D91,Tabela21[],3,0),0)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IFERROR(VLOOKUP(Leo!$D92,Tabela21[],2,0),0)</f>
        <v>0</v>
      </c>
      <c r="P92" s="54">
        <f>IFERROR(VLOOKUP(Leo!$D92,Tabela21[],3,0),0)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IFERROR(VLOOKUP(Leo!$D93,Tabela21[],2,0),0)</f>
        <v>0</v>
      </c>
      <c r="P93" s="54">
        <f>IFERROR(VLOOKUP(Leo!$D93,Tabela21[],3,0),0)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IFERROR(VLOOKUP(Leo!$D94,Tabela21[],2,0),0)</f>
        <v>0</v>
      </c>
      <c r="P94" s="54">
        <f>IFERROR(VLOOKUP(Leo!$D94,Tabela21[],3,0),0)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IFERROR(VLOOKUP(Leo!$D95,Tabela21[],2,0),0)</f>
        <v>0</v>
      </c>
      <c r="P95" s="54">
        <f>IFERROR(VLOOKUP(Leo!$D95,Tabela21[],3,0),0)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IFERROR(VLOOKUP(Leo!$D96,Tabela21[],2,0),0)</f>
        <v>0</v>
      </c>
      <c r="P96" s="54">
        <f>IFERROR(VLOOKUP(Leo!$D96,Tabela21[],3,0),0)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2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IFERROR(VLOOKUP(Leo!$D97,Tabela21[],2,0),0)</f>
        <v>0</v>
      </c>
      <c r="P97" s="136">
        <f>IFERROR(VLOOKUP(Leo!$D97,Tabela21[],3,0),0)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4</v>
      </c>
      <c r="G101" s="180"/>
      <c r="H101" s="182"/>
      <c r="I101" s="218"/>
      <c r="J101" s="219"/>
      <c r="K101" s="75"/>
      <c r="L101" s="2">
        <f>IFERROR(VLOOKUP(Leo!$A101,TFunçõesAdm[],3,0),40)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IFERROR(VLOOKUP(Leo!$A102,TFunçõesAdm[],3,0),40)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IFERROR(VLOOKUP(Leo!$A103,TFunçõesAdm[],3,0),40)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IFERROR(VLOOKUP(Leo!$A104,TFunçõesAdm[],3,0),40)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IFERROR(VLOOKUP(Leo!$A105,TFunçõesAdm[],3,0),40)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IFERROR(VLOOKUP(Leo!$A106,TFunçõesAdm[],3,0),40)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IFERROR(VLOOKUP(Leo!$A107,TFunçõesAdm[],3,0),40)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IFERROR(VLOOKUP(Leo!$A108,TFunçõesAdm[],3,0),40)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IFERROR(VLOOKUP(Leo!$A109,TFunçõesAdm[],3,0),40)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IFERROR(VLOOKUP(Leo!$A110,TFunçõesAdm[],3,0),40)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IFERROR(VLOOKUP(Leo!$A111,TFunçõesAdm[],3,0),40)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IFERROR(VLOOKUP(Leo!$A112,TFunçõesAdm[],3,0),40)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4</v>
      </c>
      <c r="G113" s="124"/>
      <c r="H113" s="89"/>
      <c r="I113" s="124"/>
      <c r="J113" s="124"/>
      <c r="K113" s="89"/>
      <c r="L113" s="104">
        <f>MIN(Leo!$L$101:$L$112)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SUM(Leo!$F$123:$F$124)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8</v>
      </c>
      <c r="B134" s="143">
        <f>K32</f>
        <v>5</v>
      </c>
      <c r="C134" s="143">
        <f>K50</f>
        <v>8</v>
      </c>
      <c r="D134" s="143">
        <f>F65</f>
        <v>0</v>
      </c>
      <c r="E134" s="143">
        <f>F81</f>
        <v>10</v>
      </c>
      <c r="F134" s="143">
        <f>F97</f>
        <v>2</v>
      </c>
      <c r="G134" s="143">
        <f>F113</f>
        <v>4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37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Leo Rufato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5</v>
      </c>
      <c r="G148" s="71">
        <f>SUM(H23:I31)</f>
        <v>3</v>
      </c>
      <c r="H148" s="71">
        <f>B134</f>
        <v>5</v>
      </c>
      <c r="I148" s="71">
        <f>C134</f>
        <v>8</v>
      </c>
      <c r="J148" s="71">
        <f>E134</f>
        <v>10</v>
      </c>
      <c r="K148" s="71">
        <f>F134</f>
        <v>2</v>
      </c>
      <c r="Q148" s="71">
        <v>0</v>
      </c>
      <c r="R148" s="71">
        <f>D134</f>
        <v>0</v>
      </c>
      <c r="S148" s="71">
        <f>G134</f>
        <v>4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37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432" priority="26">
      <formula>se+$A$134&lt;$L$35</formula>
    </cfRule>
    <cfRule type="cellIs" dxfId="431" priority="25" operator="lessThan">
      <formula>M35</formula>
    </cfRule>
  </conditionalFormatting>
  <conditionalFormatting sqref="B134">
    <cfRule type="expression" dxfId="430" priority="35">
      <formula>P32=1</formula>
    </cfRule>
  </conditionalFormatting>
  <conditionalFormatting sqref="E134">
    <cfRule type="expression" dxfId="429" priority="20">
      <formula>($E$134&gt;$L$68)</formula>
    </cfRule>
  </conditionalFormatting>
  <conditionalFormatting sqref="F54:F64">
    <cfRule type="cellIs" dxfId="428" priority="18" operator="greaterThan">
      <formula>R54</formula>
    </cfRule>
  </conditionalFormatting>
  <conditionalFormatting sqref="F101:F112">
    <cfRule type="cellIs" dxfId="427" priority="3" operator="notBetween">
      <formula>Q101</formula>
      <formula>R101</formula>
    </cfRule>
  </conditionalFormatting>
  <conditionalFormatting sqref="F70:G80">
    <cfRule type="cellIs" dxfId="426" priority="2" operator="notBetween">
      <formula>Q70</formula>
      <formula>R70</formula>
    </cfRule>
  </conditionalFormatting>
  <conditionalFormatting sqref="J12:J21">
    <cfRule type="expression" dxfId="425" priority="9">
      <formula>P12=1</formula>
    </cfRule>
  </conditionalFormatting>
  <conditionalFormatting sqref="J23:J31">
    <cfRule type="expression" dxfId="424" priority="1">
      <formula>P23=1</formula>
    </cfRule>
  </conditionalFormatting>
  <conditionalFormatting sqref="K37:K49">
    <cfRule type="expression" dxfId="423" priority="27">
      <formula>(K37&gt;R37)</formula>
    </cfRule>
  </conditionalFormatting>
  <conditionalFormatting sqref="K134">
    <cfRule type="cellIs" dxfId="422" priority="33" operator="notEqual">
      <formula>40</formula>
    </cfRule>
  </conditionalFormatting>
  <conditionalFormatting sqref="O85:P91">
    <cfRule type="expression" dxfId="421" priority="47">
      <formula>T82=1</formula>
    </cfRule>
  </conditionalFormatting>
  <conditionalFormatting sqref="O92:P92">
    <cfRule type="expression" dxfId="420" priority="54">
      <formula>T84=1</formula>
    </cfRule>
  </conditionalFormatting>
  <conditionalFormatting sqref="O93:P93">
    <cfRule type="expression" dxfId="419" priority="49">
      <formula>T84=1</formula>
    </cfRule>
  </conditionalFormatting>
  <conditionalFormatting sqref="O94:P94">
    <cfRule type="expression" dxfId="418" priority="48">
      <formula>T84=1</formula>
    </cfRule>
  </conditionalFormatting>
  <conditionalFormatting sqref="O95:P95">
    <cfRule type="expression" dxfId="417" priority="38">
      <formula>T84=1</formula>
    </cfRule>
  </conditionalFormatting>
  <conditionalFormatting sqref="O96:P96">
    <cfRule type="expression" dxfId="416" priority="21">
      <formula>T83=1</formula>
    </cfRule>
  </conditionalFormatting>
  <conditionalFormatting sqref="Q78:Q79">
    <cfRule type="expression" dxfId="415" priority="51">
      <formula>T68=1</formula>
    </cfRule>
  </conditionalFormatting>
  <conditionalFormatting sqref="Q80">
    <cfRule type="expression" dxfId="414" priority="43">
      <formula>S69=1</formula>
    </cfRule>
  </conditionalFormatting>
  <conditionalFormatting sqref="Q81">
    <cfRule type="expression" dxfId="413" priority="42">
      <formula>S69=1</formula>
    </cfRule>
  </conditionalFormatting>
  <conditionalFormatting sqref="Q37:R44">
    <cfRule type="expression" dxfId="412" priority="30">
      <formula>T34=1</formula>
    </cfRule>
  </conditionalFormatting>
  <conditionalFormatting sqref="Q45:R45">
    <cfRule type="expression" dxfId="411" priority="44">
      <formula>T37=1</formula>
    </cfRule>
  </conditionalFormatting>
  <conditionalFormatting sqref="Q46:R46">
    <cfRule type="expression" dxfId="410" priority="22">
      <formula>T37=1</formula>
    </cfRule>
  </conditionalFormatting>
  <conditionalFormatting sqref="Q47:R49">
    <cfRule type="expression" dxfId="409" priority="28">
      <formula>T37=1</formula>
    </cfRule>
  </conditionalFormatting>
  <conditionalFormatting sqref="Q54:R57">
    <cfRule type="expression" dxfId="408" priority="31">
      <formula>T51=1</formula>
    </cfRule>
  </conditionalFormatting>
  <conditionalFormatting sqref="Q58:R63">
    <cfRule type="expression" dxfId="407" priority="23">
      <formula>T52=1</formula>
    </cfRule>
  </conditionalFormatting>
  <conditionalFormatting sqref="Q64:R64">
    <cfRule type="expression" dxfId="406" priority="50">
      <formula>T53=1</formula>
    </cfRule>
  </conditionalFormatting>
  <conditionalFormatting sqref="Q70:R76">
    <cfRule type="expression" dxfId="405" priority="36">
      <formula>T66=1</formula>
    </cfRule>
  </conditionalFormatting>
  <conditionalFormatting sqref="Q77:R77">
    <cfRule type="expression" dxfId="404" priority="29">
      <formula>T68=1</formula>
    </cfRule>
  </conditionalFormatting>
  <conditionalFormatting sqref="Q101:R106 Q107:Q112 R109">
    <cfRule type="expression" dxfId="403" priority="39">
      <formula>T99=1</formula>
    </cfRule>
  </conditionalFormatting>
  <conditionalFormatting sqref="Q113:R113">
    <cfRule type="expression" dxfId="402" priority="34">
      <formula>#REF!=1</formula>
    </cfRule>
  </conditionalFormatting>
  <conditionalFormatting sqref="R78:R79">
    <cfRule type="expression" dxfId="401" priority="46">
      <formula>U67=1</formula>
    </cfRule>
  </conditionalFormatting>
  <conditionalFormatting sqref="R80">
    <cfRule type="expression" dxfId="400" priority="52">
      <formula>U67=1</formula>
    </cfRule>
  </conditionalFormatting>
  <conditionalFormatting sqref="R81">
    <cfRule type="expression" dxfId="399" priority="53">
      <formula>U69=1</formula>
    </cfRule>
  </conditionalFormatting>
  <conditionalFormatting sqref="R107:R108">
    <cfRule type="expression" dxfId="398" priority="55">
      <formula>U101=1</formula>
    </cfRule>
  </conditionalFormatting>
  <conditionalFormatting sqref="R110:R112">
    <cfRule type="expression" dxfId="397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83D7627-D998-4B02-A033-A087635AA5E1}">
          <x14:formula1>
            <xm:f>Dados!$A$38:$A$39</xm:f>
          </x14:formula1>
          <xm:sqref>H35</xm:sqref>
        </x14:dataValidation>
        <x14:dataValidation type="list" allowBlank="1" showInputMessage="1" showErrorMessage="1" xr:uid="{2AB4EB9B-B45E-4E24-A490-0F14792C929F}">
          <x14:formula1>
            <xm:f>Dados!$A$85:$A$90</xm:f>
          </x14:formula1>
          <xm:sqref>A37:A49</xm:sqref>
        </x14:dataValidation>
        <x14:dataValidation type="list" allowBlank="1" showInputMessage="1" showErrorMessage="1" xr:uid="{5808809E-687A-4B7E-9D42-FC51FCBE65D5}">
          <x14:formula1>
            <xm:f>Dados!$A$95:$A$99</xm:f>
          </x14:formula1>
          <xm:sqref>D68</xm:sqref>
        </x14:dataValidation>
        <x14:dataValidation type="list" allowBlank="1" showInputMessage="1" showErrorMessage="1" xr:uid="{5733699A-0051-4932-AD6B-D217EA6AC991}">
          <x14:formula1>
            <xm:f>Dados!$A$44:$A$78</xm:f>
          </x14:formula1>
          <xm:sqref>A101:A112</xm:sqref>
        </x14:dataValidation>
        <x14:dataValidation type="list" allowBlank="1" showInputMessage="1" showErrorMessage="1" xr:uid="{B2CA7C16-4706-4460-9C53-0C953A2E9133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3A1CE44E-5540-4FFC-9B4D-9619AECBAF91}">
          <x14:formula1>
            <xm:f>Dados!$A$108:$A$109</xm:f>
          </x14:formula1>
          <xm:sqref>D54:D64</xm:sqref>
        </x14:dataValidation>
        <x14:dataValidation type="list" allowBlank="1" showInputMessage="1" showErrorMessage="1" xr:uid="{D05B4F28-C34A-48B5-B07B-687146DE86D8}">
          <x14:formula1>
            <xm:f>Profs!$A:$A</xm:f>
          </x14:formula1>
          <xm:sqref>A5</xm:sqref>
        </x14:dataValidation>
        <x14:dataValidation type="list" allowBlank="1" showInputMessage="1" showErrorMessage="1" xr:uid="{87F8D7DD-8A56-4735-BE9B-57729BB1A8DD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7F61C7A1-C893-4C60-9439-236A53031A4F}">
          <x14:formula1>
            <xm:f>'Grade Pós'!$A:$A</xm:f>
          </x14:formula1>
          <xm:sqref>A23:A31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9414-80BA-49EF-B9E7-81580C316A30}">
  <sheetPr>
    <pageSetUpPr fitToPage="1"/>
  </sheetPr>
  <dimension ref="A1:W148"/>
  <sheetViews>
    <sheetView showGridLines="0" zoomScale="95" zoomScaleNormal="95" workbookViewId="0">
      <selection activeCell="A14" sqref="A14:C14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893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Substituto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Horista</v>
      </c>
      <c r="I8" s="160" t="str">
        <f>VLOOKUP(A5,TProfessores[],6,0)</f>
        <v>08h/Ativ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192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5ª</v>
      </c>
      <c r="G12" s="184"/>
      <c r="H12" s="73">
        <v>0</v>
      </c>
      <c r="I12" s="73">
        <v>6</v>
      </c>
      <c r="J12" s="180"/>
      <c r="K12" s="181"/>
      <c r="L12" s="2">
        <f t="shared" ref="L12:L21" si="0">SUM(H12:I12)</f>
        <v>6</v>
      </c>
      <c r="M12" s="3">
        <f t="shared" ref="M12:M21" si="1">IF(A12&lt;&gt;0,1,0)</f>
        <v>1</v>
      </c>
      <c r="N12" s="3">
        <f t="shared" ref="N12:N21" si="2">IF(J12&lt;Q12,1,0)</f>
        <v>1</v>
      </c>
      <c r="O12" s="3">
        <f t="shared" ref="O12:O21" si="3">IF(J12&gt;R12,1,0)</f>
        <v>0</v>
      </c>
      <c r="P12" s="3">
        <f>SUM(N12:O12)</f>
        <v>1</v>
      </c>
      <c r="Q12" s="52">
        <f t="shared" ref="Q12:Q21" si="4">L12*0.5</f>
        <v>3</v>
      </c>
      <c r="R12" s="54">
        <f t="shared" ref="R12:R21" si="5">IFERROR(_xlfn.IFS($M$32=1,L12,$M$32=2,L12,$M$32=3,(L12*1.3),$M$32&gt;3,(L12*1.5)),0)</f>
        <v>9</v>
      </c>
    </row>
    <row r="13" spans="1:22" ht="15" customHeight="1" x14ac:dyDescent="0.25">
      <c r="A13" s="180" t="s">
        <v>189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4ª</v>
      </c>
      <c r="G13" s="184"/>
      <c r="H13" s="73">
        <v>1</v>
      </c>
      <c r="I13" s="73">
        <v>0</v>
      </c>
      <c r="J13" s="185"/>
      <c r="K13" s="180"/>
      <c r="L13" s="2">
        <f t="shared" si="0"/>
        <v>1</v>
      </c>
      <c r="M13" s="3">
        <f t="shared" si="1"/>
        <v>1</v>
      </c>
      <c r="N13" s="3">
        <f t="shared" si="2"/>
        <v>1</v>
      </c>
      <c r="O13" s="3">
        <f t="shared" si="3"/>
        <v>0</v>
      </c>
      <c r="P13" s="3">
        <f t="shared" ref="P13:P21" si="6">SUM(N13:O13)</f>
        <v>1</v>
      </c>
      <c r="Q13" s="52">
        <f t="shared" si="4"/>
        <v>0.5</v>
      </c>
      <c r="R13" s="54">
        <f t="shared" si="5"/>
        <v>1.5</v>
      </c>
    </row>
    <row r="14" spans="1:22" ht="15" customHeight="1" x14ac:dyDescent="0.25">
      <c r="A14" s="180" t="s">
        <v>318</v>
      </c>
      <c r="B14" s="181"/>
      <c r="C14" s="182"/>
      <c r="D14" s="183" t="str">
        <f>IFERROR(VLOOKUP(A14,TGradeCurricular[],2,0),"")</f>
        <v>Medicina Veterinária</v>
      </c>
      <c r="E14" s="184"/>
      <c r="F14" s="183" t="str">
        <f>IFERROR(VLOOKUP(A14,TGradeCurricular[],3,0),"")</f>
        <v>2ª</v>
      </c>
      <c r="G14" s="184"/>
      <c r="H14" s="73">
        <v>1</v>
      </c>
      <c r="I14" s="73">
        <v>0</v>
      </c>
      <c r="J14" s="185"/>
      <c r="K14" s="180"/>
      <c r="L14" s="2">
        <f t="shared" si="0"/>
        <v>1</v>
      </c>
      <c r="M14" s="3">
        <f t="shared" si="1"/>
        <v>1</v>
      </c>
      <c r="N14" s="3">
        <f t="shared" si="2"/>
        <v>1</v>
      </c>
      <c r="O14" s="3">
        <f t="shared" si="3"/>
        <v>0</v>
      </c>
      <c r="P14" s="3">
        <f t="shared" si="6"/>
        <v>1</v>
      </c>
      <c r="Q14" s="52">
        <f t="shared" si="4"/>
        <v>0.5</v>
      </c>
      <c r="R14" s="54">
        <f t="shared" si="5"/>
        <v>1.5</v>
      </c>
    </row>
    <row r="15" spans="1:22" x14ac:dyDescent="0.25">
      <c r="A15" s="180" t="s">
        <v>666</v>
      </c>
      <c r="B15" s="181"/>
      <c r="C15" s="182"/>
      <c r="D15" s="183" t="str">
        <f>IFERROR(VLOOKUP(A15,TGradeCurricular[],2,0),"")</f>
        <v>Agronomia</v>
      </c>
      <c r="E15" s="184"/>
      <c r="F15" s="183" t="str">
        <f>IFERROR(VLOOKUP(A15,TGradeCurricular[],3,0),"")</f>
        <v>1ª</v>
      </c>
      <c r="G15" s="184"/>
      <c r="H15" s="73">
        <v>2</v>
      </c>
      <c r="I15" s="73">
        <v>0</v>
      </c>
      <c r="J15" s="185"/>
      <c r="K15" s="180"/>
      <c r="L15" s="2">
        <f t="shared" si="0"/>
        <v>2</v>
      </c>
      <c r="M15" s="3">
        <f t="shared" si="1"/>
        <v>1</v>
      </c>
      <c r="N15" s="3">
        <f t="shared" si="2"/>
        <v>1</v>
      </c>
      <c r="O15" s="3">
        <f t="shared" si="3"/>
        <v>0</v>
      </c>
      <c r="P15" s="3">
        <f>SUM(N15:O15)</f>
        <v>1</v>
      </c>
      <c r="Q15" s="52">
        <f t="shared" si="4"/>
        <v>1</v>
      </c>
      <c r="R15" s="54">
        <f t="shared" si="5"/>
        <v>3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IFERROR(VLOOKUP(Leonardo!$A23,'Grade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IFERROR(VLOOKUP(Leonardo!$A24,'Grade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IFERROR(VLOOKUP(Leonardo!$A25,'Grade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IFERROR(VLOOKUP(Leonardo!$A26,'Grade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IFERROR(VLOOKUP(Leonardo!$A27,'Grade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IFERROR(VLOOKUP(Leonardo!$A28,'Grade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IFERROR(VLOOKUP(Leonardo!$A29,'Grade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IFERROR(VLOOKUP(Leonardo!$A30,'Grade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IFERROR(VLOOKUP(Leonardo!$A31,'Grade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10</v>
      </c>
      <c r="M32" s="5">
        <f>SUM(M12:M31)</f>
        <v>4</v>
      </c>
      <c r="N32" s="96">
        <f>IF(K32&lt;Q32,1,0)</f>
        <v>1</v>
      </c>
      <c r="O32" s="96">
        <f>IF(K32&gt;R32,1,0)</f>
        <v>0</v>
      </c>
      <c r="P32" s="96">
        <f>SUM(N32:O32)</f>
        <v>1</v>
      </c>
      <c r="Q32" s="100">
        <f>L32*0.5</f>
        <v>5</v>
      </c>
      <c r="R32" s="101">
        <f t="shared" si="9"/>
        <v>15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IFERROR(VLOOKUP(Leonardo!$D54,Tabela20[],2,0),0)</f>
        <v>0</v>
      </c>
      <c r="R54" s="54">
        <f>IFERROR(VLOOKUP(Leonardo!$D54,Tabela20[],3,0),0)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IFERROR(VLOOKUP(Leonardo!$D55,Tabela20[],2,0),0)</f>
        <v>0</v>
      </c>
      <c r="R55" s="54">
        <f>IFERROR(VLOOKUP(Leonardo!$D55,Tabela20[],3,0),0)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IFERROR(VLOOKUP(Leonardo!$D56,Tabela20[],2,0),0)</f>
        <v>0</v>
      </c>
      <c r="R56" s="54">
        <f>IFERROR(VLOOKUP(Leonardo!$D56,Tabela20[],3,0),0)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IFERROR(VLOOKUP(Leonardo!$D57,Tabela20[],2,0),0)</f>
        <v>0</v>
      </c>
      <c r="R57" s="54">
        <f>IFERROR(VLOOKUP(Leonardo!$D57,Tabela20[],3,0),0)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IFERROR(VLOOKUP(Leonardo!$D58,Tabela20[],2,0),0)</f>
        <v>0</v>
      </c>
      <c r="R58" s="54">
        <f>IFERROR(VLOOKUP(Leonardo!$D58,Tabela20[],3,0),0)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IFERROR(VLOOKUP(Leonardo!$D59,Tabela20[],2,0),0)</f>
        <v>0</v>
      </c>
      <c r="R59" s="54">
        <f>IFERROR(VLOOKUP(Leonardo!$D59,Tabela20[],3,0),0)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IFERROR(VLOOKUP(Leonardo!$D60,Tabela20[],2,0),0)</f>
        <v>0</v>
      </c>
      <c r="R60" s="54">
        <f>IFERROR(VLOOKUP(Leonardo!$D60,Tabela20[],3,0),0)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IFERROR(VLOOKUP(Leonardo!$D61,Tabela20[],2,0),0)</f>
        <v>0</v>
      </c>
      <c r="R61" s="54">
        <f>IFERROR(VLOOKUP(Leonardo!$D61,Tabela20[],3,0),0)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IFERROR(VLOOKUP(Leonardo!$D62,Tabela20[],2,0),0)</f>
        <v>0</v>
      </c>
      <c r="R62" s="54">
        <f>IFERROR(VLOOKUP(Leonardo!$D62,Tabela20[],3,0),0)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IFERROR(VLOOKUP(Leonardo!$D63,Tabela20[],2,0),0)</f>
        <v>0</v>
      </c>
      <c r="R63" s="54">
        <f>IFERROR(VLOOKUP(Leonardo!$D63,Tabela20[],3,0),0)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IFERROR(VLOOKUP(Leonardo!$D64,Tabela20[],2,0),0)</f>
        <v>0</v>
      </c>
      <c r="R64" s="114">
        <f>IFERROR(VLOOKUP(Leonardo!$D64,Tabela20[],3,0),0)</f>
        <v>0</v>
      </c>
    </row>
    <row r="65" spans="1:23" s="89" customFormat="1" hidden="1" x14ac:dyDescent="0.25">
      <c r="A65" s="89" t="s">
        <v>756</v>
      </c>
      <c r="F65" s="124">
        <f>SUM(Leonardo!$F$54:$F$64)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IFERROR(VLOOKUP(Leonardo!$D70,Tabela11[],2),0)</f>
        <v>0</v>
      </c>
      <c r="R70" s="54">
        <f>IFERROR(VLOOKUP(Leonardo!$D70,Tabela11[],3),0)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IFERROR(VLOOKUP(Leonardo!$D71,Tabela11[],2),0)</f>
        <v>0</v>
      </c>
      <c r="R71" s="54">
        <f>IFERROR(VLOOKUP(Leonardo!$D71,Tabela11[],3),0)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IFERROR(VLOOKUP(Leonardo!$D72,Tabela11[],2),0)</f>
        <v>0</v>
      </c>
      <c r="R72" s="54">
        <f>IFERROR(VLOOKUP(Leonardo!$D72,Tabela11[],3),0)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IFERROR(VLOOKUP(Leonardo!$D73,Tabela11[],2),0)</f>
        <v>0</v>
      </c>
      <c r="R73" s="54">
        <f>IFERROR(VLOOKUP(Leonardo!$D73,Tabela11[],3),0)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IFERROR(VLOOKUP(Leonardo!$D74,Tabela11[],2),0)</f>
        <v>0</v>
      </c>
      <c r="R74" s="54">
        <f>IFERROR(VLOOKUP(Leonardo!$D74,Tabela11[],3),0)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IFERROR(VLOOKUP(Leonardo!$D75,Tabela11[],2),0)</f>
        <v>0</v>
      </c>
      <c r="R75" s="54">
        <f>IFERROR(VLOOKUP(Leonardo!$D75,Tabela11[],3),0)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IFERROR(VLOOKUP(Leonardo!$D76,Tabela11[],2),0)</f>
        <v>0</v>
      </c>
      <c r="R76" s="54">
        <f>IFERROR(VLOOKUP(Leonardo!$D76,Tabela11[],3),0)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IFERROR(VLOOKUP(Leonardo!$D77,Tabela11[],2),0)</f>
        <v>0</v>
      </c>
      <c r="R77" s="54">
        <f>IFERROR(VLOOKUP(Leonardo!$D77,Tabela11[],3),0)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IFERROR(VLOOKUP(Leonardo!$D78,Tabela11[],2),0)</f>
        <v>0</v>
      </c>
      <c r="R78" s="54">
        <f>IFERROR(VLOOKUP(Leonardo!$D78,Tabela11[],3),0)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IFERROR(VLOOKUP(Leonardo!$D79,Tabela11[],2),0)</f>
        <v>0</v>
      </c>
      <c r="R79" s="54">
        <f>IFERROR(VLOOKUP(Leonardo!$D79,Tabela11[],3),0)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IFERROR(VLOOKUP(Leonardo!$D80,Tabela11[],2),0)</f>
        <v>0</v>
      </c>
      <c r="R80" s="114">
        <f>IFERROR(VLOOKUP(Leonardo!$D80,Tabela11[],3),0)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IFERROR(VLOOKUP(Leonardo!$D85,Tabela21[],2,0),0)</f>
        <v>0</v>
      </c>
      <c r="P85" s="54">
        <f>IFERROR(VLOOKUP(Leonardo!$D85,Tabela21[],3,0),0)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IFERROR(VLOOKUP(Leonardo!$D86,Tabela21[],2,0),0)</f>
        <v>0</v>
      </c>
      <c r="P86" s="54">
        <f>IFERROR(VLOOKUP(Leonardo!$D86,Tabela21[],3,0),0)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IFERROR(VLOOKUP(Leonardo!$D87,Tabela21[],2,0),0)</f>
        <v>0</v>
      </c>
      <c r="P87" s="54">
        <f>IFERROR(VLOOKUP(Leonardo!$D87,Tabela21[],3,0),0)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IFERROR(VLOOKUP(Leonardo!$D88,Tabela21[],2,0),0)</f>
        <v>0</v>
      </c>
      <c r="P88" s="54">
        <f>IFERROR(VLOOKUP(Leonardo!$D88,Tabela21[],3,0),0)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IFERROR(VLOOKUP(Leonardo!$D89,Tabela21[],2,0),0)</f>
        <v>0</v>
      </c>
      <c r="P89" s="54">
        <f>IFERROR(VLOOKUP(Leonardo!$D89,Tabela21[],3,0),0)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IFERROR(VLOOKUP(Leonardo!$D90,Tabela21[],2,0),0)</f>
        <v>0</v>
      </c>
      <c r="P90" s="54">
        <f>IFERROR(VLOOKUP(Leonardo!$D90,Tabela21[],3,0),0)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IFERROR(VLOOKUP(Leonardo!$D91,Tabela21[],2,0),0)</f>
        <v>0</v>
      </c>
      <c r="P91" s="54">
        <f>IFERROR(VLOOKUP(Leonardo!$D91,Tabela21[],3,0),0)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IFERROR(VLOOKUP(Leonardo!$D92,Tabela21[],2,0),0)</f>
        <v>0</v>
      </c>
      <c r="P92" s="54">
        <f>IFERROR(VLOOKUP(Leonardo!$D92,Tabela21[],3,0),0)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IFERROR(VLOOKUP(Leonardo!$D93,Tabela21[],2,0),0)</f>
        <v>0</v>
      </c>
      <c r="P93" s="54">
        <f>IFERROR(VLOOKUP(Leonardo!$D93,Tabela21[],3,0),0)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IFERROR(VLOOKUP(Leonardo!$D94,Tabela21[],2,0),0)</f>
        <v>0</v>
      </c>
      <c r="P94" s="54">
        <f>IFERROR(VLOOKUP(Leonardo!$D94,Tabela21[],3,0),0)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IFERROR(VLOOKUP(Leonardo!$D95,Tabela21[],2,0),0)</f>
        <v>0</v>
      </c>
      <c r="P95" s="54">
        <f>IFERROR(VLOOKUP(Leonardo!$D95,Tabela21[],3,0),0)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IFERROR(VLOOKUP(Leonardo!$D96,Tabela21[],2,0),0)</f>
        <v>0</v>
      </c>
      <c r="P96" s="54">
        <f>IFERROR(VLOOKUP(Leonardo!$D96,Tabela21[],3,0),0)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IFERROR(VLOOKUP(Leonardo!$D97,Tabela21[],2,0),0)</f>
        <v>0</v>
      </c>
      <c r="P97" s="136">
        <f>IFERROR(VLOOKUP(Leonardo!$D97,Tabela21[],3,0),0)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IFERROR(VLOOKUP(Leonardo!$A101,TFunçõesAdm[],3,0),40)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IFERROR(VLOOKUP(Leonardo!$A102,TFunçõesAdm[],3,0),40)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IFERROR(VLOOKUP(Leonardo!$A103,TFunçõesAdm[],3,0),40)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IFERROR(VLOOKUP(Leonardo!$A104,TFunçõesAdm[],3,0),40)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IFERROR(VLOOKUP(Leonardo!$A105,TFunçõesAdm[],3,0),40)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IFERROR(VLOOKUP(Leonardo!$A106,TFunçõesAdm[],3,0),40)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IFERROR(VLOOKUP(Leonardo!$A107,TFunçõesAdm[],3,0),40)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IFERROR(VLOOKUP(Leonardo!$A108,TFunçõesAdm[],3,0),40)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IFERROR(VLOOKUP(Leonardo!$A109,TFunçõesAdm[],3,0),40)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IFERROR(VLOOKUP(Leonardo!$A110,TFunçõesAdm[],3,0),40)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IFERROR(VLOOKUP(Leonardo!$A111,TFunçõesAdm[],3,0),40)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IFERROR(VLOOKUP(Leonardo!$A112,TFunçõesAdm[],3,0),40)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MIN(Leonardo!$L$101:$L$112)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SUM(Leonardo!$F$123:$F$124)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10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Substituto</v>
      </c>
      <c r="B148" s="26" t="str">
        <f>A5</f>
        <v>Leonardo Mortari Machado</v>
      </c>
      <c r="C148" s="26" t="str">
        <f>D8</f>
        <v>Doutor(a)</v>
      </c>
      <c r="D148" s="70" t="str">
        <f>H8</f>
        <v>Horista</v>
      </c>
      <c r="E148" s="70" t="str">
        <f>I8</f>
        <v>08h/Ativ</v>
      </c>
      <c r="F148" s="71">
        <f>SUM(H12:I21)</f>
        <v>10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10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B7976F15-F4EB-4A2D-A53C-B367B546EBE6}">
          <x14:formula1>
            <xm:f>Dados!$A$38:$A$39</xm:f>
          </x14:formula1>
          <xm:sqref>H35</xm:sqref>
        </x14:dataValidation>
        <x14:dataValidation type="list" allowBlank="1" showInputMessage="1" showErrorMessage="1" xr:uid="{BA0C47A1-C727-401B-BF27-E1843641559C}">
          <x14:formula1>
            <xm:f>Dados!$A$85:$A$90</xm:f>
          </x14:formula1>
          <xm:sqref>A37:A49</xm:sqref>
        </x14:dataValidation>
        <x14:dataValidation type="list" allowBlank="1" showInputMessage="1" showErrorMessage="1" xr:uid="{363302F9-82B7-4A55-9F62-3779D26D1039}">
          <x14:formula1>
            <xm:f>Dados!$A$95:$A$99</xm:f>
          </x14:formula1>
          <xm:sqref>D68</xm:sqref>
        </x14:dataValidation>
        <x14:dataValidation type="list" allowBlank="1" showInputMessage="1" showErrorMessage="1" xr:uid="{EE2F44D7-9989-4DF4-9F16-F161E4F6616C}">
          <x14:formula1>
            <xm:f>Dados!$A$44:$A$78</xm:f>
          </x14:formula1>
          <xm:sqref>A101:A112</xm:sqref>
        </x14:dataValidation>
        <x14:dataValidation type="list" allowBlank="1" showInputMessage="1" showErrorMessage="1" xr:uid="{256A6D3C-7ADD-4623-BF00-D32233E940EA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CF459145-51DC-4A64-BF94-B559AE55B095}">
          <x14:formula1>
            <xm:f>Dados!$A$108:$A$109</xm:f>
          </x14:formula1>
          <xm:sqref>D54:D64</xm:sqref>
        </x14:dataValidation>
        <x14:dataValidation type="list" allowBlank="1" showInputMessage="1" showErrorMessage="1" xr:uid="{465A916A-ED05-427D-846A-4A6BCC2CA0E0}">
          <x14:formula1>
            <xm:f>Profs!$A:$A</xm:f>
          </x14:formula1>
          <xm:sqref>A5</xm:sqref>
        </x14:dataValidation>
        <x14:dataValidation type="list" allowBlank="1" showInputMessage="1" showErrorMessage="1" xr:uid="{187C5807-514F-4657-8684-7BE20BD03F0C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EC39598A-4B2C-4201-ADDC-C18A3B565FA1}">
          <x14:formula1>
            <xm:f>'Grade Pós'!$A:$A</xm:f>
          </x14:formula1>
          <xm:sqref>A23:A31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43920-8839-4B05-84CE-4C4884522112}">
  <sheetPr>
    <pageSetUpPr fitToPage="1"/>
  </sheetPr>
  <dimension ref="A1:W148"/>
  <sheetViews>
    <sheetView showGridLines="0" topLeftCell="A129" zoomScale="87" zoomScaleNormal="87" workbookViewId="0">
      <selection activeCell="H143" sqref="H143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420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212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8ª</v>
      </c>
      <c r="G12" s="184"/>
      <c r="H12" s="73">
        <v>3</v>
      </c>
      <c r="I12" s="73">
        <v>1</v>
      </c>
      <c r="J12" s="180">
        <v>4</v>
      </c>
      <c r="K12" s="181"/>
      <c r="L12" s="2">
        <f t="shared" ref="L12:L21" si="0">SUM(H12:I12)</f>
        <v>4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</v>
      </c>
      <c r="R12" s="54">
        <f t="shared" ref="R12:R21" si="5">IFERROR(_xlfn.IFS($M$32=1,L12,$M$32=2,L12,$M$32=3,(L12*1.3),$M$32&gt;3,(L12*1.5)),0)</f>
        <v>5.2</v>
      </c>
    </row>
    <row r="13" spans="1:22" ht="15" customHeight="1" x14ac:dyDescent="0.25">
      <c r="A13" s="180" t="s">
        <v>215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9ª</v>
      </c>
      <c r="G13" s="184"/>
      <c r="H13" s="73">
        <v>3</v>
      </c>
      <c r="I13" s="73"/>
      <c r="J13" s="185">
        <v>3</v>
      </c>
      <c r="K13" s="180"/>
      <c r="L13" s="2">
        <f t="shared" si="0"/>
        <v>3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1.5</v>
      </c>
      <c r="R13" s="54">
        <f t="shared" si="5"/>
        <v>3.9000000000000004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IFERROR(VLOOKUP(Luís!$A23,'Grade Pós'!A:B,2,0),"")</f>
        <v>PROGRAMA</v>
      </c>
      <c r="E23" s="200"/>
      <c r="F23" s="200"/>
      <c r="G23" s="184"/>
      <c r="H23" s="180">
        <v>1</v>
      </c>
      <c r="I23" s="182"/>
      <c r="J23" s="185">
        <v>1</v>
      </c>
      <c r="K23" s="185"/>
      <c r="L23" s="2">
        <f>SUM(H23:I23)</f>
        <v>1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0.5</v>
      </c>
      <c r="R23" s="54">
        <f t="shared" ref="R23:R32" si="9">IFERROR(_xlfn.IFS($M$32=1,L23,$M$32=2,L23,$M$32=3,(L23*1.3),$M$32&gt;3,(L23*1.5)),0)</f>
        <v>1.3</v>
      </c>
    </row>
    <row r="24" spans="1:22" ht="26.25" customHeight="1" x14ac:dyDescent="0.25">
      <c r="A24" s="180"/>
      <c r="B24" s="181"/>
      <c r="C24" s="182"/>
      <c r="D24" s="183" t="str">
        <f>IFERROR(VLOOKUP(Luís!$A24,'Grade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IFERROR(VLOOKUP(Luís!$A25,'Grade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IFERROR(VLOOKUP(Luís!$A26,'Grade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IFERROR(VLOOKUP(Luís!$A27,'Grade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IFERROR(VLOOKUP(Luís!$A28,'Grade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IFERROR(VLOOKUP(Luís!$A29,'Grade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IFERROR(VLOOKUP(Luís!$A30,'Grade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IFERROR(VLOOKUP(Luís!$A31,'Grade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7</v>
      </c>
      <c r="K32" s="99">
        <f>SUM(J12:J31)</f>
        <v>8</v>
      </c>
      <c r="L32" s="4">
        <f>SUM(L12:L31)</f>
        <v>8</v>
      </c>
      <c r="M32" s="5">
        <f>SUM(M12:M31)</f>
        <v>3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4</v>
      </c>
      <c r="R32" s="101">
        <f t="shared" si="9"/>
        <v>10.4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113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3</v>
      </c>
    </row>
    <row r="38" spans="1:22" x14ac:dyDescent="0.25">
      <c r="A38" s="180" t="s">
        <v>113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2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3</v>
      </c>
    </row>
    <row r="39" spans="1:22" x14ac:dyDescent="0.25">
      <c r="A39" s="180" t="s">
        <v>113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2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3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6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9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IFERROR(VLOOKUP(Luís!$D54,Tabela20[],2,0),0)</f>
        <v>0</v>
      </c>
      <c r="R54" s="54">
        <f>IFERROR(VLOOKUP(Luís!$D54,Tabela20[],3,0),0)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IFERROR(VLOOKUP(Luís!$D55,Tabela20[],2,0),0)</f>
        <v>0</v>
      </c>
      <c r="R55" s="54">
        <f>IFERROR(VLOOKUP(Luís!$D55,Tabela20[],3,0),0)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IFERROR(VLOOKUP(Luís!$D56,Tabela20[],2,0),0)</f>
        <v>0</v>
      </c>
      <c r="R56" s="54">
        <f>IFERROR(VLOOKUP(Luís!$D56,Tabela20[],3,0),0)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IFERROR(VLOOKUP(Luís!$D57,Tabela20[],2,0),0)</f>
        <v>0</v>
      </c>
      <c r="R57" s="54">
        <f>IFERROR(VLOOKUP(Luís!$D57,Tabela20[],3,0),0)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IFERROR(VLOOKUP(Luís!$D58,Tabela20[],2,0),0)</f>
        <v>0</v>
      </c>
      <c r="R58" s="54">
        <f>IFERROR(VLOOKUP(Luís!$D58,Tabela20[],3,0),0)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IFERROR(VLOOKUP(Luís!$D59,Tabela20[],2,0),0)</f>
        <v>0</v>
      </c>
      <c r="R59" s="54">
        <f>IFERROR(VLOOKUP(Luís!$D59,Tabela20[],3,0),0)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IFERROR(VLOOKUP(Luís!$D60,Tabela20[],2,0),0)</f>
        <v>0</v>
      </c>
      <c r="R60" s="54">
        <f>IFERROR(VLOOKUP(Luís!$D60,Tabela20[],3,0),0)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IFERROR(VLOOKUP(Luís!$D61,Tabela20[],2,0),0)</f>
        <v>0</v>
      </c>
      <c r="R61" s="54">
        <f>IFERROR(VLOOKUP(Luís!$D61,Tabela20[],3,0),0)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IFERROR(VLOOKUP(Luís!$D62,Tabela20[],2,0),0)</f>
        <v>0</v>
      </c>
      <c r="R62" s="54">
        <f>IFERROR(VLOOKUP(Luís!$D62,Tabela20[],3,0),0)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IFERROR(VLOOKUP(Luís!$D63,Tabela20[],2,0),0)</f>
        <v>0</v>
      </c>
      <c r="R63" s="54">
        <f>IFERROR(VLOOKUP(Luís!$D63,Tabela20[],3,0),0)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IFERROR(VLOOKUP(Luís!$D64,Tabela20[],2,0),0)</f>
        <v>0</v>
      </c>
      <c r="R64" s="114">
        <f>IFERROR(VLOOKUP(Luís!$D64,Tabela20[],3,0),0)</f>
        <v>0</v>
      </c>
    </row>
    <row r="65" spans="1:23" s="89" customFormat="1" hidden="1" x14ac:dyDescent="0.25">
      <c r="A65" s="89" t="s">
        <v>756</v>
      </c>
      <c r="F65" s="124">
        <f>SUM(Luís!$F$54:$F$64)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6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IFERROR(VLOOKUP(Luís!$D70,Tabela11[],2),0)</f>
        <v>0</v>
      </c>
      <c r="R70" s="54">
        <f>IFERROR(VLOOKUP(Luís!$D70,Tabela11[],3),0)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6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IFERROR(VLOOKUP(Luís!$D71,Tabela11[],2),0)</f>
        <v>0</v>
      </c>
      <c r="R71" s="54">
        <f>IFERROR(VLOOKUP(Luís!$D71,Tabela11[],3),0)</f>
        <v>6</v>
      </c>
    </row>
    <row r="72" spans="1:23" x14ac:dyDescent="0.25">
      <c r="A72" s="180"/>
      <c r="B72" s="181"/>
      <c r="C72" s="182"/>
      <c r="D72" s="180" t="s">
        <v>791</v>
      </c>
      <c r="E72" s="182"/>
      <c r="F72" s="73">
        <v>5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IFERROR(VLOOKUP(Luís!$D72,Tabela11[],2),0)</f>
        <v>0</v>
      </c>
      <c r="R72" s="54">
        <f>IFERROR(VLOOKUP(Luís!$D72,Tabela11[],3),0)</f>
        <v>6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IFERROR(VLOOKUP(Luís!$D73,Tabela11[],2),0)</f>
        <v>0</v>
      </c>
      <c r="R73" s="54">
        <f>IFERROR(VLOOKUP(Luís!$D73,Tabela11[],3),0)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IFERROR(VLOOKUP(Luís!$D74,Tabela11[],2),0)</f>
        <v>0</v>
      </c>
      <c r="R74" s="54">
        <f>IFERROR(VLOOKUP(Luís!$D74,Tabela11[],3),0)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IFERROR(VLOOKUP(Luís!$D75,Tabela11[],2),0)</f>
        <v>0</v>
      </c>
      <c r="R75" s="54">
        <f>IFERROR(VLOOKUP(Luís!$D75,Tabela11[],3),0)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IFERROR(VLOOKUP(Luís!$D76,Tabela11[],2),0)</f>
        <v>0</v>
      </c>
      <c r="R76" s="54">
        <f>IFERROR(VLOOKUP(Luís!$D76,Tabela11[],3),0)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IFERROR(VLOOKUP(Luís!$D77,Tabela11[],2),0)</f>
        <v>0</v>
      </c>
      <c r="R77" s="54">
        <f>IFERROR(VLOOKUP(Luís!$D77,Tabela11[],3),0)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IFERROR(VLOOKUP(Luís!$D78,Tabela11[],2),0)</f>
        <v>0</v>
      </c>
      <c r="R78" s="54">
        <f>IFERROR(VLOOKUP(Luís!$D78,Tabela11[],3),0)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IFERROR(VLOOKUP(Luís!$D79,Tabela11[],2),0)</f>
        <v>0</v>
      </c>
      <c r="R79" s="54">
        <f>IFERROR(VLOOKUP(Luís!$D79,Tabela11[],3),0)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IFERROR(VLOOKUP(Luís!$D80,Tabela11[],2),0)</f>
        <v>0</v>
      </c>
      <c r="R80" s="114">
        <f>IFERROR(VLOOKUP(Luís!$D80,Tabela11[],3),0)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17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IFERROR(VLOOKUP(Luís!$D85,Tabela21[],2,0),0)</f>
        <v>0</v>
      </c>
      <c r="P85" s="54">
        <f>IFERROR(VLOOKUP(Luís!$D85,Tabela21[],3,0),0)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IFERROR(VLOOKUP(Luís!$D86,Tabela21[],2,0),0)</f>
        <v>0</v>
      </c>
      <c r="P86" s="54">
        <f>IFERROR(VLOOKUP(Luís!$D86,Tabela21[],3,0),0)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IFERROR(VLOOKUP(Luís!$D87,Tabela21[],2,0),0)</f>
        <v>0</v>
      </c>
      <c r="P87" s="54">
        <f>IFERROR(VLOOKUP(Luís!$D87,Tabela21[],3,0),0)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IFERROR(VLOOKUP(Luís!$D88,Tabela21[],2,0),0)</f>
        <v>0</v>
      </c>
      <c r="P88" s="54">
        <f>IFERROR(VLOOKUP(Luís!$D88,Tabela21[],3,0),0)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IFERROR(VLOOKUP(Luís!$D89,Tabela21[],2,0),0)</f>
        <v>0</v>
      </c>
      <c r="P89" s="54">
        <f>IFERROR(VLOOKUP(Luís!$D89,Tabela21[],3,0),0)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IFERROR(VLOOKUP(Luís!$D90,Tabela21[],2,0),0)</f>
        <v>0</v>
      </c>
      <c r="P90" s="54">
        <f>IFERROR(VLOOKUP(Luís!$D90,Tabela21[],3,0),0)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IFERROR(VLOOKUP(Luís!$D91,Tabela21[],2,0),0)</f>
        <v>0</v>
      </c>
      <c r="P91" s="54">
        <f>IFERROR(VLOOKUP(Luís!$D91,Tabela21[],3,0),0)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IFERROR(VLOOKUP(Luís!$D92,Tabela21[],2,0),0)</f>
        <v>0</v>
      </c>
      <c r="P92" s="54">
        <f>IFERROR(VLOOKUP(Luís!$D92,Tabela21[],3,0),0)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IFERROR(VLOOKUP(Luís!$D93,Tabela21[],2,0),0)</f>
        <v>0</v>
      </c>
      <c r="P93" s="54">
        <f>IFERROR(VLOOKUP(Luís!$D93,Tabela21[],3,0),0)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IFERROR(VLOOKUP(Luís!$D94,Tabela21[],2,0),0)</f>
        <v>0</v>
      </c>
      <c r="P94" s="54">
        <f>IFERROR(VLOOKUP(Luís!$D94,Tabela21[],3,0),0)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IFERROR(VLOOKUP(Luís!$D95,Tabela21[],2,0),0)</f>
        <v>0</v>
      </c>
      <c r="P95" s="54">
        <f>IFERROR(VLOOKUP(Luís!$D95,Tabela21[],3,0),0)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IFERROR(VLOOKUP(Luís!$D96,Tabela21[],2,0),0)</f>
        <v>0</v>
      </c>
      <c r="P96" s="54">
        <f>IFERROR(VLOOKUP(Luís!$D96,Tabela21[],3,0),0)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IFERROR(VLOOKUP(Luís!$D97,Tabela21[],2,0),0)</f>
        <v>0</v>
      </c>
      <c r="P97" s="136">
        <f>IFERROR(VLOOKUP(Luís!$D97,Tabela21[],3,0),0)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809</v>
      </c>
      <c r="B101" s="181"/>
      <c r="C101" s="182"/>
      <c r="D101" s="180"/>
      <c r="E101" s="182"/>
      <c r="F101" s="73">
        <v>1</v>
      </c>
      <c r="G101" s="180"/>
      <c r="H101" s="182"/>
      <c r="I101" s="218"/>
      <c r="J101" s="219"/>
      <c r="K101" s="75"/>
      <c r="L101" s="2">
        <f>IFERROR(VLOOKUP(Luís!$A101,TFunçõesAdm[],3,0),40)</f>
        <v>38</v>
      </c>
      <c r="M101" s="3"/>
      <c r="N101" s="95"/>
      <c r="O101" s="95"/>
      <c r="P101" s="95"/>
      <c r="Q101" s="52">
        <v>0</v>
      </c>
      <c r="R101" s="54">
        <f>IFERROR(VLOOKUP(A101,TFunçõesAdm[],2,FALSE),0)</f>
        <v>2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IFERROR(VLOOKUP(Luís!$A102,TFunçõesAdm[],3,0),40)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IFERROR(VLOOKUP(Luís!$A103,TFunçõesAdm[],3,0),40)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IFERROR(VLOOKUP(Luís!$A104,TFunçõesAdm[],3,0),40)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IFERROR(VLOOKUP(Luís!$A105,TFunçõesAdm[],3,0),40)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IFERROR(VLOOKUP(Luís!$A106,TFunçõesAdm[],3,0),40)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IFERROR(VLOOKUP(Luís!$A107,TFunçõesAdm[],3,0),40)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IFERROR(VLOOKUP(Luís!$A108,TFunçõesAdm[],3,0),40)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IFERROR(VLOOKUP(Luís!$A109,TFunçõesAdm[],3,0),40)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IFERROR(VLOOKUP(Luís!$A110,TFunçõesAdm[],3,0),40)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IFERROR(VLOOKUP(Luís!$A111,TFunçõesAdm[],3,0),40)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IFERROR(VLOOKUP(Luís!$A112,TFunçõesAdm[],3,0),40)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1</v>
      </c>
      <c r="G113" s="124"/>
      <c r="H113" s="89"/>
      <c r="I113" s="124"/>
      <c r="J113" s="124"/>
      <c r="K113" s="89"/>
      <c r="L113" s="104">
        <f>MIN(Luís!$L$101:$L$112)</f>
        <v>38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SUM(Luís!$F$123:$F$124)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8</v>
      </c>
      <c r="B134" s="143">
        <f>K32</f>
        <v>8</v>
      </c>
      <c r="C134" s="143">
        <f>K50</f>
        <v>6</v>
      </c>
      <c r="D134" s="143">
        <f>F65</f>
        <v>0</v>
      </c>
      <c r="E134" s="143">
        <f>F81</f>
        <v>17</v>
      </c>
      <c r="F134" s="143">
        <f>F97</f>
        <v>0</v>
      </c>
      <c r="G134" s="143">
        <f>F113</f>
        <v>1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40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Luís Sangoi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7</v>
      </c>
      <c r="G148" s="71">
        <f>SUM(H23:I31)</f>
        <v>1</v>
      </c>
      <c r="H148" s="71">
        <f>B134</f>
        <v>8</v>
      </c>
      <c r="I148" s="71">
        <f>C134</f>
        <v>6</v>
      </c>
      <c r="J148" s="71">
        <f>E134</f>
        <v>17</v>
      </c>
      <c r="K148" s="71">
        <f>F134</f>
        <v>0</v>
      </c>
      <c r="Q148" s="71">
        <v>0</v>
      </c>
      <c r="R148" s="71">
        <f>D134</f>
        <v>0</v>
      </c>
      <c r="S148" s="71">
        <f>G134</f>
        <v>1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40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396" priority="26">
      <formula>se+$A$134&lt;$L$35</formula>
    </cfRule>
    <cfRule type="cellIs" dxfId="395" priority="25" operator="lessThan">
      <formula>M35</formula>
    </cfRule>
  </conditionalFormatting>
  <conditionalFormatting sqref="B134">
    <cfRule type="expression" dxfId="394" priority="35">
      <formula>P32=1</formula>
    </cfRule>
  </conditionalFormatting>
  <conditionalFormatting sqref="E134">
    <cfRule type="expression" dxfId="393" priority="20">
      <formula>($E$134&gt;$L$68)</formula>
    </cfRule>
  </conditionalFormatting>
  <conditionalFormatting sqref="F54:F64">
    <cfRule type="cellIs" dxfId="392" priority="18" operator="greaterThan">
      <formula>R54</formula>
    </cfRule>
  </conditionalFormatting>
  <conditionalFormatting sqref="F101:F112">
    <cfRule type="cellIs" dxfId="391" priority="3" operator="notBetween">
      <formula>Q101</formula>
      <formula>R101</formula>
    </cfRule>
  </conditionalFormatting>
  <conditionalFormatting sqref="F70:G80">
    <cfRule type="cellIs" dxfId="390" priority="2" operator="notBetween">
      <formula>Q70</formula>
      <formula>R70</formula>
    </cfRule>
  </conditionalFormatting>
  <conditionalFormatting sqref="J12:J21">
    <cfRule type="expression" dxfId="389" priority="9">
      <formula>P12=1</formula>
    </cfRule>
  </conditionalFormatting>
  <conditionalFormatting sqref="J23:J31">
    <cfRule type="expression" dxfId="388" priority="1">
      <formula>P23=1</formula>
    </cfRule>
  </conditionalFormatting>
  <conditionalFormatting sqref="K37:K49">
    <cfRule type="expression" dxfId="387" priority="27">
      <formula>(K37&gt;R37)</formula>
    </cfRule>
  </conditionalFormatting>
  <conditionalFormatting sqref="K134">
    <cfRule type="cellIs" dxfId="386" priority="33" operator="notEqual">
      <formula>40</formula>
    </cfRule>
  </conditionalFormatting>
  <conditionalFormatting sqref="O85:P91">
    <cfRule type="expression" dxfId="385" priority="47">
      <formula>T82=1</formula>
    </cfRule>
  </conditionalFormatting>
  <conditionalFormatting sqref="O92:P92">
    <cfRule type="expression" dxfId="384" priority="54">
      <formula>T84=1</formula>
    </cfRule>
  </conditionalFormatting>
  <conditionalFormatting sqref="O93:P93">
    <cfRule type="expression" dxfId="383" priority="49">
      <formula>T84=1</formula>
    </cfRule>
  </conditionalFormatting>
  <conditionalFormatting sqref="O94:P94">
    <cfRule type="expression" dxfId="382" priority="48">
      <formula>T84=1</formula>
    </cfRule>
  </conditionalFormatting>
  <conditionalFormatting sqref="O95:P95">
    <cfRule type="expression" dxfId="381" priority="38">
      <formula>T84=1</formula>
    </cfRule>
  </conditionalFormatting>
  <conditionalFormatting sqref="O96:P96">
    <cfRule type="expression" dxfId="380" priority="21">
      <formula>T83=1</formula>
    </cfRule>
  </conditionalFormatting>
  <conditionalFormatting sqref="Q78:Q79">
    <cfRule type="expression" dxfId="379" priority="51">
      <formula>T68=1</formula>
    </cfRule>
  </conditionalFormatting>
  <conditionalFormatting sqref="Q80">
    <cfRule type="expression" dxfId="378" priority="43">
      <formula>S69=1</formula>
    </cfRule>
  </conditionalFormatting>
  <conditionalFormatting sqref="Q81">
    <cfRule type="expression" dxfId="377" priority="42">
      <formula>S69=1</formula>
    </cfRule>
  </conditionalFormatting>
  <conditionalFormatting sqref="Q37:R44">
    <cfRule type="expression" dxfId="376" priority="30">
      <formula>T34=1</formula>
    </cfRule>
  </conditionalFormatting>
  <conditionalFormatting sqref="Q45:R45">
    <cfRule type="expression" dxfId="375" priority="44">
      <formula>T37=1</formula>
    </cfRule>
  </conditionalFormatting>
  <conditionalFormatting sqref="Q46:R46">
    <cfRule type="expression" dxfId="374" priority="22">
      <formula>T37=1</formula>
    </cfRule>
  </conditionalFormatting>
  <conditionalFormatting sqref="Q47:R49">
    <cfRule type="expression" dxfId="373" priority="28">
      <formula>T37=1</formula>
    </cfRule>
  </conditionalFormatting>
  <conditionalFormatting sqref="Q54:R57">
    <cfRule type="expression" dxfId="372" priority="31">
      <formula>T51=1</formula>
    </cfRule>
  </conditionalFormatting>
  <conditionalFormatting sqref="Q58:R63">
    <cfRule type="expression" dxfId="371" priority="23">
      <formula>T52=1</formula>
    </cfRule>
  </conditionalFormatting>
  <conditionalFormatting sqref="Q64:R64">
    <cfRule type="expression" dxfId="370" priority="50">
      <formula>T53=1</formula>
    </cfRule>
  </conditionalFormatting>
  <conditionalFormatting sqref="Q70:R76">
    <cfRule type="expression" dxfId="369" priority="36">
      <formula>T66=1</formula>
    </cfRule>
  </conditionalFormatting>
  <conditionalFormatting sqref="Q77:R77">
    <cfRule type="expression" dxfId="368" priority="29">
      <formula>T68=1</formula>
    </cfRule>
  </conditionalFormatting>
  <conditionalFormatting sqref="Q101:R106 Q107:Q112 R109">
    <cfRule type="expression" dxfId="367" priority="39">
      <formula>T99=1</formula>
    </cfRule>
  </conditionalFormatting>
  <conditionalFormatting sqref="Q113:R113">
    <cfRule type="expression" dxfId="366" priority="34">
      <formula>#REF!=1</formula>
    </cfRule>
  </conditionalFormatting>
  <conditionalFormatting sqref="R78:R79">
    <cfRule type="expression" dxfId="365" priority="46">
      <formula>U67=1</formula>
    </cfRule>
  </conditionalFormatting>
  <conditionalFormatting sqref="R80">
    <cfRule type="expression" dxfId="364" priority="52">
      <formula>U67=1</formula>
    </cfRule>
  </conditionalFormatting>
  <conditionalFormatting sqref="R81">
    <cfRule type="expression" dxfId="363" priority="53">
      <formula>U69=1</formula>
    </cfRule>
  </conditionalFormatting>
  <conditionalFormatting sqref="R107:R108">
    <cfRule type="expression" dxfId="362" priority="55">
      <formula>U101=1</formula>
    </cfRule>
  </conditionalFormatting>
  <conditionalFormatting sqref="R110:R112">
    <cfRule type="expression" dxfId="361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0804C88-1F1E-452E-B366-D06D3D2DF514}">
          <x14:formula1>
            <xm:f>'Grade Pós'!$A:$A</xm:f>
          </x14:formula1>
          <xm:sqref>A23:A31</xm:sqref>
        </x14:dataValidation>
        <x14:dataValidation type="list" allowBlank="1" showInputMessage="1" showErrorMessage="1" xr:uid="{08274D15-C8A4-4514-AABD-38E8FCC5B87E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26A4E92D-64AE-4ADD-8C82-9FAD6AB801BC}">
          <x14:formula1>
            <xm:f>Profs!$A:$A</xm:f>
          </x14:formula1>
          <xm:sqref>A5</xm:sqref>
        </x14:dataValidation>
        <x14:dataValidation type="list" allowBlank="1" showInputMessage="1" showErrorMessage="1" xr:uid="{616B8852-4ABE-4B66-87FB-7D958DD96977}">
          <x14:formula1>
            <xm:f>Dados!$A$108:$A$109</xm:f>
          </x14:formula1>
          <xm:sqref>D54:D64</xm:sqref>
        </x14:dataValidation>
        <x14:dataValidation type="list" allowBlank="1" showInputMessage="1" showErrorMessage="1" xr:uid="{0E79A114-017C-4E8B-A998-634FB0861276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F9B902D3-114E-4787-80F4-7E16F8432AA6}">
          <x14:formula1>
            <xm:f>Dados!$A$44:$A$78</xm:f>
          </x14:formula1>
          <xm:sqref>A101:A112</xm:sqref>
        </x14:dataValidation>
        <x14:dataValidation type="list" allowBlank="1" showInputMessage="1" showErrorMessage="1" xr:uid="{872DAB44-826A-40F5-960E-12C019C4E57D}">
          <x14:formula1>
            <xm:f>Dados!$A$95:$A$99</xm:f>
          </x14:formula1>
          <xm:sqref>D68</xm:sqref>
        </x14:dataValidation>
        <x14:dataValidation type="list" allowBlank="1" showInputMessage="1" showErrorMessage="1" xr:uid="{F449EAE1-30FD-4B11-843A-3D91D1AF9660}">
          <x14:formula1>
            <xm:f>Dados!$A$85:$A$90</xm:f>
          </x14:formula1>
          <xm:sqref>A37:A49</xm:sqref>
        </x14:dataValidation>
        <x14:dataValidation type="list" allowBlank="1" showInputMessage="1" showErrorMessage="1" xr:uid="{13CB5DB3-605B-4AD1-9B43-CD68118D5155}">
          <x14:formula1>
            <xm:f>Dados!$A$38:$A$39</xm:f>
          </x14:formula1>
          <xm:sqref>H35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FA61-44E5-46FC-AC93-5835C54C4AB2}">
  <sheetPr>
    <pageSetUpPr fitToPage="1"/>
  </sheetPr>
  <dimension ref="A1:W148"/>
  <sheetViews>
    <sheetView showGridLines="0" zoomScale="66" zoomScaleNormal="66" workbookViewId="0">
      <selection activeCell="J15" sqref="J15:K1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422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318</v>
      </c>
      <c r="B12" s="181"/>
      <c r="C12" s="182"/>
      <c r="D12" s="183" t="str">
        <f>IFERROR(VLOOKUP(A12,TGradeCurricular[],2,0),"")</f>
        <v>Medicina Veterinária</v>
      </c>
      <c r="E12" s="184"/>
      <c r="F12" s="183" t="str">
        <f>IFERROR(VLOOKUP(A12,TGradeCurricular[],3,0),"")</f>
        <v>2ª</v>
      </c>
      <c r="G12" s="184"/>
      <c r="H12" s="73">
        <v>1</v>
      </c>
      <c r="I12" s="73">
        <v>0</v>
      </c>
      <c r="J12" s="180">
        <v>0.5</v>
      </c>
      <c r="K12" s="181"/>
      <c r="L12" s="2">
        <f t="shared" ref="L12:L21" si="0">SUM(H12:I12)</f>
        <v>1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0.5</v>
      </c>
      <c r="R12" s="54">
        <f t="shared" ref="R12:R21" si="5">IFERROR(_xlfn.IFS($M$32=1,L12,$M$32=2,L12,$M$32=3,(L12*1.3),$M$32&gt;3,(L12*1.5)),0)</f>
        <v>1.5</v>
      </c>
    </row>
    <row r="13" spans="1:22" ht="15" customHeight="1" x14ac:dyDescent="0.25">
      <c r="A13" s="180" t="s">
        <v>189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4ª</v>
      </c>
      <c r="G13" s="184"/>
      <c r="H13" s="73">
        <v>1</v>
      </c>
      <c r="I13" s="73">
        <v>0</v>
      </c>
      <c r="J13" s="185">
        <v>0.5</v>
      </c>
      <c r="K13" s="180"/>
      <c r="L13" s="2">
        <f t="shared" si="0"/>
        <v>1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0.5</v>
      </c>
      <c r="R13" s="54">
        <f t="shared" si="5"/>
        <v>1.5</v>
      </c>
    </row>
    <row r="14" spans="1:22" ht="15" customHeight="1" x14ac:dyDescent="0.25">
      <c r="A14" s="180" t="s">
        <v>199</v>
      </c>
      <c r="B14" s="181"/>
      <c r="C14" s="182"/>
      <c r="D14" s="183" t="str">
        <f>IFERROR(VLOOKUP(A14,TGradeCurricular[],2,0),"")</f>
        <v>Agronomia</v>
      </c>
      <c r="E14" s="184"/>
      <c r="F14" s="183" t="str">
        <f>IFERROR(VLOOKUP(A14,TGradeCurricular[],3,0),"")</f>
        <v>6ª</v>
      </c>
      <c r="G14" s="184"/>
      <c r="H14" s="73">
        <v>2</v>
      </c>
      <c r="I14" s="73">
        <v>0</v>
      </c>
      <c r="J14" s="185">
        <v>1</v>
      </c>
      <c r="K14" s="180"/>
      <c r="L14" s="2">
        <f t="shared" si="0"/>
        <v>2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1</v>
      </c>
      <c r="R14" s="54">
        <f t="shared" si="5"/>
        <v>3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IFERROR(VLOOKUP(Mari!$A23,'Grade Pós'!A:B,2,0),"")</f>
        <v>PROGRAMA</v>
      </c>
      <c r="E23" s="200"/>
      <c r="F23" s="200"/>
      <c r="G23" s="184"/>
      <c r="H23" s="180">
        <v>2</v>
      </c>
      <c r="I23" s="182"/>
      <c r="J23" s="185">
        <v>2</v>
      </c>
      <c r="K23" s="185"/>
      <c r="L23" s="2">
        <f>SUM(H23:I23)</f>
        <v>2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1</v>
      </c>
      <c r="R23" s="54">
        <f t="shared" ref="R23:R32" si="9">IFERROR(_xlfn.IFS($M$32=1,L23,$M$32=2,L23,$M$32=3,(L23*1.3),$M$32&gt;3,(L23*1.5)),0)</f>
        <v>3</v>
      </c>
    </row>
    <row r="24" spans="1:22" ht="26.25" customHeight="1" x14ac:dyDescent="0.25">
      <c r="A24" s="180" t="s">
        <v>831</v>
      </c>
      <c r="B24" s="181"/>
      <c r="C24" s="182"/>
      <c r="D24" s="183" t="str">
        <f>IFERROR(VLOOKUP(Mari!$A24,'Grade Pós'!A:B,2,0),"")</f>
        <v>PROGRAMA</v>
      </c>
      <c r="E24" s="200"/>
      <c r="F24" s="200"/>
      <c r="G24" s="184"/>
      <c r="H24" s="180">
        <v>4</v>
      </c>
      <c r="I24" s="182"/>
      <c r="J24" s="180">
        <v>4</v>
      </c>
      <c r="K24" s="182"/>
      <c r="L24" s="2">
        <f>SUM(H24:I24)</f>
        <v>4</v>
      </c>
      <c r="M24" s="3">
        <f>IF(A24&lt;&gt;0,1,0)</f>
        <v>1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2</v>
      </c>
      <c r="R24" s="54">
        <f t="shared" si="9"/>
        <v>6</v>
      </c>
    </row>
    <row r="25" spans="1:22" x14ac:dyDescent="0.25">
      <c r="A25" s="180"/>
      <c r="B25" s="181"/>
      <c r="C25" s="182"/>
      <c r="D25" s="183" t="str">
        <f>IFERROR(VLOOKUP(Mari!$A25,'Grade Pós'!A:B,2,0),"")</f>
        <v/>
      </c>
      <c r="E25" s="200"/>
      <c r="F25" s="200"/>
      <c r="G25" s="184"/>
      <c r="H25" s="180">
        <v>2</v>
      </c>
      <c r="I25" s="182"/>
      <c r="J25" s="180">
        <v>2</v>
      </c>
      <c r="K25" s="182"/>
      <c r="L25" s="2">
        <f t="shared" ref="L25:L27" si="10">SUM(H25:I25)</f>
        <v>2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1</v>
      </c>
      <c r="R25" s="54">
        <f t="shared" si="9"/>
        <v>3</v>
      </c>
    </row>
    <row r="26" spans="1:22" x14ac:dyDescent="0.25">
      <c r="A26" s="180"/>
      <c r="B26" s="181"/>
      <c r="C26" s="182"/>
      <c r="D26" s="183" t="str">
        <f>IFERROR(VLOOKUP(Mari!$A26,'Grade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IFERROR(VLOOKUP(Mari!$A27,'Grade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IFERROR(VLOOKUP(Mari!$A28,'Grade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IFERROR(VLOOKUP(Mari!$A29,'Grade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IFERROR(VLOOKUP(Mari!$A30,'Grade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IFERROR(VLOOKUP(Mari!$A31,'Grade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2</v>
      </c>
      <c r="K32" s="99">
        <f>SUM(J12:J31)</f>
        <v>10</v>
      </c>
      <c r="L32" s="4">
        <f>SUM(L12:L31)</f>
        <v>12</v>
      </c>
      <c r="M32" s="5">
        <f>SUM(M12:M31)</f>
        <v>5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6</v>
      </c>
      <c r="R32" s="101">
        <f t="shared" si="9"/>
        <v>18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113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2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3</v>
      </c>
    </row>
    <row r="38" spans="1:22" x14ac:dyDescent="0.25">
      <c r="A38" s="180" t="s">
        <v>115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1.5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2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3.5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5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IFERROR(VLOOKUP(Mari!$D54,Tabela20[],2,0),0)</f>
        <v>0</v>
      </c>
      <c r="R54" s="54">
        <f>IFERROR(VLOOKUP(Mari!$D54,Tabela20[],3,0),0)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IFERROR(VLOOKUP(Mari!$D55,Tabela20[],2,0),0)</f>
        <v>0</v>
      </c>
      <c r="R55" s="54">
        <f>IFERROR(VLOOKUP(Mari!$D55,Tabela20[],3,0),0)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IFERROR(VLOOKUP(Mari!$D56,Tabela20[],2,0),0)</f>
        <v>0</v>
      </c>
      <c r="R56" s="54">
        <f>IFERROR(VLOOKUP(Mari!$D56,Tabela20[],3,0),0)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IFERROR(VLOOKUP(Mari!$D57,Tabela20[],2,0),0)</f>
        <v>0</v>
      </c>
      <c r="R57" s="54">
        <f>IFERROR(VLOOKUP(Mari!$D57,Tabela20[],3,0),0)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IFERROR(VLOOKUP(Mari!$D58,Tabela20[],2,0),0)</f>
        <v>0</v>
      </c>
      <c r="R58" s="54">
        <f>IFERROR(VLOOKUP(Mari!$D58,Tabela20[],3,0),0)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IFERROR(VLOOKUP(Mari!$D59,Tabela20[],2,0),0)</f>
        <v>0</v>
      </c>
      <c r="R59" s="54">
        <f>IFERROR(VLOOKUP(Mari!$D59,Tabela20[],3,0),0)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IFERROR(VLOOKUP(Mari!$D60,Tabela20[],2,0),0)</f>
        <v>0</v>
      </c>
      <c r="R60" s="54">
        <f>IFERROR(VLOOKUP(Mari!$D60,Tabela20[],3,0),0)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IFERROR(VLOOKUP(Mari!$D61,Tabela20[],2,0),0)</f>
        <v>0</v>
      </c>
      <c r="R61" s="54">
        <f>IFERROR(VLOOKUP(Mari!$D61,Tabela20[],3,0),0)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IFERROR(VLOOKUP(Mari!$D62,Tabela20[],2,0),0)</f>
        <v>0</v>
      </c>
      <c r="R62" s="54">
        <f>IFERROR(VLOOKUP(Mari!$D62,Tabela20[],3,0),0)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IFERROR(VLOOKUP(Mari!$D63,Tabela20[],2,0),0)</f>
        <v>0</v>
      </c>
      <c r="R63" s="54">
        <f>IFERROR(VLOOKUP(Mari!$D63,Tabela20[],3,0),0)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IFERROR(VLOOKUP(Mari!$D64,Tabela20[],2,0),0)</f>
        <v>0</v>
      </c>
      <c r="R64" s="114">
        <f>IFERROR(VLOOKUP(Mari!$D64,Tabela20[],3,0),0)</f>
        <v>0</v>
      </c>
    </row>
    <row r="65" spans="1:23" s="89" customFormat="1" hidden="1" x14ac:dyDescent="0.25">
      <c r="A65" s="89" t="s">
        <v>756</v>
      </c>
      <c r="F65" s="124">
        <f>SUM(Mari!$F$54:$F$64)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4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IFERROR(VLOOKUP(Mari!$D70,Tabela11[],2),0)</f>
        <v>0</v>
      </c>
      <c r="R70" s="54">
        <f>IFERROR(VLOOKUP(Mari!$D70,Tabela11[],3),0)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6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IFERROR(VLOOKUP(Mari!$D71,Tabela11[],2),0)</f>
        <v>0</v>
      </c>
      <c r="R71" s="54">
        <f>IFERROR(VLOOKUP(Mari!$D71,Tabela11[],3),0)</f>
        <v>6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IFERROR(VLOOKUP(Mari!$D72,Tabela11[],2),0)</f>
        <v>0</v>
      </c>
      <c r="R72" s="54">
        <f>IFERROR(VLOOKUP(Mari!$D72,Tabela11[],3),0)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IFERROR(VLOOKUP(Mari!$D73,Tabela11[],2),0)</f>
        <v>0</v>
      </c>
      <c r="R73" s="54">
        <f>IFERROR(VLOOKUP(Mari!$D73,Tabela11[],3),0)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IFERROR(VLOOKUP(Mari!$D74,Tabela11[],2),0)</f>
        <v>0</v>
      </c>
      <c r="R74" s="54">
        <f>IFERROR(VLOOKUP(Mari!$D74,Tabela11[],3),0)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IFERROR(VLOOKUP(Mari!$D75,Tabela11[],2),0)</f>
        <v>0</v>
      </c>
      <c r="R75" s="54">
        <f>IFERROR(VLOOKUP(Mari!$D75,Tabela11[],3),0)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IFERROR(VLOOKUP(Mari!$D76,Tabela11[],2),0)</f>
        <v>0</v>
      </c>
      <c r="R76" s="54">
        <f>IFERROR(VLOOKUP(Mari!$D76,Tabela11[],3),0)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IFERROR(VLOOKUP(Mari!$D77,Tabela11[],2),0)</f>
        <v>0</v>
      </c>
      <c r="R77" s="54">
        <f>IFERROR(VLOOKUP(Mari!$D77,Tabela11[],3),0)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IFERROR(VLOOKUP(Mari!$D78,Tabela11[],2),0)</f>
        <v>0</v>
      </c>
      <c r="R78" s="54">
        <f>IFERROR(VLOOKUP(Mari!$D78,Tabela11[],3),0)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IFERROR(VLOOKUP(Mari!$D79,Tabela11[],2),0)</f>
        <v>0</v>
      </c>
      <c r="R79" s="54">
        <f>IFERROR(VLOOKUP(Mari!$D79,Tabela11[],3),0)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IFERROR(VLOOKUP(Mari!$D80,Tabela11[],2),0)</f>
        <v>0</v>
      </c>
      <c r="R80" s="114">
        <f>IFERROR(VLOOKUP(Mari!$D80,Tabela11[],3),0)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>
        <v>10</v>
      </c>
      <c r="G85" s="180"/>
      <c r="H85" s="182"/>
      <c r="I85" s="180"/>
      <c r="J85" s="182"/>
      <c r="K85" s="6"/>
      <c r="L85" s="121"/>
      <c r="M85" s="121"/>
      <c r="N85" s="122"/>
      <c r="O85" s="52">
        <f>IFERROR(VLOOKUP(Mari!$D85,Tabela21[],2,0),0)</f>
        <v>0</v>
      </c>
      <c r="P85" s="54">
        <f>IFERROR(VLOOKUP(Mari!$D85,Tabela21[],3,0),0)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IFERROR(VLOOKUP(Mari!$D86,Tabela21[],2,0),0)</f>
        <v>0</v>
      </c>
      <c r="P86" s="54">
        <f>IFERROR(VLOOKUP(Mari!$D86,Tabela21[],3,0),0)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IFERROR(VLOOKUP(Mari!$D87,Tabela21[],2,0),0)</f>
        <v>0</v>
      </c>
      <c r="P87" s="54">
        <f>IFERROR(VLOOKUP(Mari!$D87,Tabela21[],3,0),0)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IFERROR(VLOOKUP(Mari!$D88,Tabela21[],2,0),0)</f>
        <v>0</v>
      </c>
      <c r="P88" s="54">
        <f>IFERROR(VLOOKUP(Mari!$D88,Tabela21[],3,0),0)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IFERROR(VLOOKUP(Mari!$D89,Tabela21[],2,0),0)</f>
        <v>0</v>
      </c>
      <c r="P89" s="54">
        <f>IFERROR(VLOOKUP(Mari!$D89,Tabela21[],3,0),0)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IFERROR(VLOOKUP(Mari!$D90,Tabela21[],2,0),0)</f>
        <v>0</v>
      </c>
      <c r="P90" s="54">
        <f>IFERROR(VLOOKUP(Mari!$D90,Tabela21[],3,0),0)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IFERROR(VLOOKUP(Mari!$D91,Tabela21[],2,0),0)</f>
        <v>0</v>
      </c>
      <c r="P91" s="54">
        <f>IFERROR(VLOOKUP(Mari!$D91,Tabela21[],3,0),0)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IFERROR(VLOOKUP(Mari!$D92,Tabela21[],2,0),0)</f>
        <v>0</v>
      </c>
      <c r="P92" s="54">
        <f>IFERROR(VLOOKUP(Mari!$D92,Tabela21[],3,0),0)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IFERROR(VLOOKUP(Mari!$D93,Tabela21[],2,0),0)</f>
        <v>0</v>
      </c>
      <c r="P93" s="54">
        <f>IFERROR(VLOOKUP(Mari!$D93,Tabela21[],3,0),0)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IFERROR(VLOOKUP(Mari!$D94,Tabela21[],2,0),0)</f>
        <v>0</v>
      </c>
      <c r="P94" s="54">
        <f>IFERROR(VLOOKUP(Mari!$D94,Tabela21[],3,0),0)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IFERROR(VLOOKUP(Mari!$D95,Tabela21[],2,0),0)</f>
        <v>0</v>
      </c>
      <c r="P95" s="54">
        <f>IFERROR(VLOOKUP(Mari!$D95,Tabela21[],3,0),0)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IFERROR(VLOOKUP(Mari!$D96,Tabela21[],2,0),0)</f>
        <v>0</v>
      </c>
      <c r="P96" s="54">
        <f>IFERROR(VLOOKUP(Mari!$D96,Tabela21[],3,0),0)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10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IFERROR(VLOOKUP(Mari!$D97,Tabela21[],2,0),0)</f>
        <v>0</v>
      </c>
      <c r="P97" s="136">
        <f>IFERROR(VLOOKUP(Mari!$D97,Tabela21[],3,0),0)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807</v>
      </c>
      <c r="B101" s="181"/>
      <c r="C101" s="182"/>
      <c r="D101" s="180"/>
      <c r="E101" s="182"/>
      <c r="F101" s="73">
        <v>1</v>
      </c>
      <c r="G101" s="180"/>
      <c r="H101" s="182"/>
      <c r="I101" s="218"/>
      <c r="J101" s="219"/>
      <c r="K101" s="75"/>
      <c r="L101" s="2">
        <f>IFERROR(VLOOKUP(Mari!$A101,TFunçõesAdm[],3,0),40)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 t="s">
        <v>805</v>
      </c>
      <c r="B102" s="181"/>
      <c r="C102" s="182"/>
      <c r="D102" s="180"/>
      <c r="E102" s="182"/>
      <c r="F102" s="73">
        <v>5</v>
      </c>
      <c r="G102" s="180"/>
      <c r="H102" s="182"/>
      <c r="I102" s="218"/>
      <c r="J102" s="219"/>
      <c r="K102" s="75"/>
      <c r="L102" s="2">
        <f>IFERROR(VLOOKUP(Mari!$A102,TFunçõesAdm[],3,0),40)</f>
        <v>35</v>
      </c>
      <c r="M102" s="3"/>
      <c r="N102" s="95"/>
      <c r="O102" s="95"/>
      <c r="P102" s="95"/>
      <c r="Q102" s="52">
        <v>0</v>
      </c>
      <c r="R102" s="54">
        <f>IFERROR(VLOOKUP(A102,TFunçõesAdm[],2,FALSE),0)</f>
        <v>5</v>
      </c>
    </row>
    <row r="103" spans="1:22" ht="24" customHeight="1" x14ac:dyDescent="0.25">
      <c r="A103" s="180" t="s">
        <v>816</v>
      </c>
      <c r="B103" s="181"/>
      <c r="C103" s="182"/>
      <c r="D103" s="180"/>
      <c r="E103" s="182"/>
      <c r="F103" s="73">
        <v>1</v>
      </c>
      <c r="G103" s="180"/>
      <c r="H103" s="182"/>
      <c r="I103" s="218"/>
      <c r="J103" s="219"/>
      <c r="K103" s="75"/>
      <c r="L103" s="2">
        <f>IFERROR(VLOOKUP(Mari!$A103,TFunçõesAdm[],3,0),40)</f>
        <v>37</v>
      </c>
      <c r="M103" s="3"/>
      <c r="N103" s="95"/>
      <c r="O103" s="95"/>
      <c r="P103" s="95"/>
      <c r="Q103" s="52">
        <v>0</v>
      </c>
      <c r="R103" s="54">
        <f>IFERROR(VLOOKUP(A103,TFunçõesAdm[],2,FALSE),0)</f>
        <v>3</v>
      </c>
    </row>
    <row r="104" spans="1:22" x14ac:dyDescent="0.25">
      <c r="A104" s="180" t="s">
        <v>809</v>
      </c>
      <c r="B104" s="181"/>
      <c r="C104" s="182"/>
      <c r="D104" s="180"/>
      <c r="E104" s="182"/>
      <c r="F104" s="73">
        <v>1</v>
      </c>
      <c r="G104" s="180"/>
      <c r="H104" s="182"/>
      <c r="I104" s="218"/>
      <c r="J104" s="219"/>
      <c r="K104" s="75"/>
      <c r="L104" s="2">
        <f>IFERROR(VLOOKUP(Mari!$A104,TFunçõesAdm[],3,0),40)</f>
        <v>38</v>
      </c>
      <c r="M104" s="3"/>
      <c r="N104" s="95"/>
      <c r="O104" s="95"/>
      <c r="P104" s="95"/>
      <c r="Q104" s="52">
        <v>0</v>
      </c>
      <c r="R104" s="54">
        <f>IFERROR(VLOOKUP(A104,TFunçõesAdm[],2,FALSE),0)</f>
        <v>2</v>
      </c>
    </row>
    <row r="105" spans="1:22" x14ac:dyDescent="0.25">
      <c r="A105" s="180" t="s">
        <v>807</v>
      </c>
      <c r="B105" s="181"/>
      <c r="C105" s="182"/>
      <c r="D105" s="180"/>
      <c r="E105" s="182"/>
      <c r="F105" s="73">
        <v>1</v>
      </c>
      <c r="G105" s="180"/>
      <c r="H105" s="182"/>
      <c r="I105" s="218"/>
      <c r="J105" s="219"/>
      <c r="K105" s="75"/>
      <c r="L105" s="2">
        <f>IFERROR(VLOOKUP(Mari!$A105,TFunçõesAdm[],3,0),40)</f>
        <v>35</v>
      </c>
      <c r="M105" s="3"/>
      <c r="N105" s="95"/>
      <c r="O105" s="95"/>
      <c r="P105" s="95"/>
      <c r="Q105" s="52">
        <v>0</v>
      </c>
      <c r="R105" s="54">
        <f>IFERROR(VLOOKUP(A105,TFunçõesAdm[],2,FALSE),0)</f>
        <v>5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IFERROR(VLOOKUP(Mari!$A106,TFunçõesAdm[],3,0),40)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IFERROR(VLOOKUP(Mari!$A107,TFunçõesAdm[],3,0),40)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IFERROR(VLOOKUP(Mari!$A108,TFunçõesAdm[],3,0),40)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IFERROR(VLOOKUP(Mari!$A109,TFunçõesAdm[],3,0),40)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IFERROR(VLOOKUP(Mari!$A110,TFunçõesAdm[],3,0),40)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IFERROR(VLOOKUP(Mari!$A111,TFunçõesAdm[],3,0),40)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IFERROR(VLOOKUP(Mari!$A112,TFunçõesAdm[],3,0),40)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9</v>
      </c>
      <c r="G113" s="124"/>
      <c r="H113" s="89"/>
      <c r="I113" s="124"/>
      <c r="J113" s="124"/>
      <c r="K113" s="89"/>
      <c r="L113" s="104">
        <f>MIN(Mari!$L$101:$L$112)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SUM(Mari!$F$123:$F$124)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12</v>
      </c>
      <c r="B134" s="143">
        <f>K32</f>
        <v>10</v>
      </c>
      <c r="C134" s="143">
        <f>K50</f>
        <v>3.5</v>
      </c>
      <c r="D134" s="143">
        <f>F65</f>
        <v>0</v>
      </c>
      <c r="E134" s="143">
        <f>F81</f>
        <v>10</v>
      </c>
      <c r="F134" s="143">
        <f>F97</f>
        <v>10</v>
      </c>
      <c r="G134" s="143">
        <f>F113</f>
        <v>9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54.5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Mari Inês Carissimi Boff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4</v>
      </c>
      <c r="G148" s="71">
        <f>SUM(H23:I31)</f>
        <v>8</v>
      </c>
      <c r="H148" s="71">
        <f>B134</f>
        <v>10</v>
      </c>
      <c r="I148" s="71">
        <f>C134</f>
        <v>3.5</v>
      </c>
      <c r="J148" s="71">
        <f>E134</f>
        <v>10</v>
      </c>
      <c r="K148" s="71">
        <f>F134</f>
        <v>10</v>
      </c>
      <c r="Q148" s="71">
        <v>0</v>
      </c>
      <c r="R148" s="71">
        <f>D134</f>
        <v>0</v>
      </c>
      <c r="S148" s="71">
        <f>G134</f>
        <v>9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54.5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360" priority="26">
      <formula>se+$A$134&lt;$L$35</formula>
    </cfRule>
    <cfRule type="cellIs" dxfId="359" priority="25" operator="lessThan">
      <formula>M35</formula>
    </cfRule>
  </conditionalFormatting>
  <conditionalFormatting sqref="B134">
    <cfRule type="expression" dxfId="358" priority="35">
      <formula>P32=1</formula>
    </cfRule>
  </conditionalFormatting>
  <conditionalFormatting sqref="E134">
    <cfRule type="expression" dxfId="357" priority="20">
      <formula>($E$134&gt;$L$68)</formula>
    </cfRule>
  </conditionalFormatting>
  <conditionalFormatting sqref="F54:F64">
    <cfRule type="cellIs" dxfId="356" priority="18" operator="greaterThan">
      <formula>R54</formula>
    </cfRule>
  </conditionalFormatting>
  <conditionalFormatting sqref="F101:F112">
    <cfRule type="cellIs" dxfId="355" priority="3" operator="notBetween">
      <formula>Q101</formula>
      <formula>R101</formula>
    </cfRule>
  </conditionalFormatting>
  <conditionalFormatting sqref="F70:G80">
    <cfRule type="cellIs" dxfId="354" priority="2" operator="notBetween">
      <formula>Q70</formula>
      <formula>R70</formula>
    </cfRule>
  </conditionalFormatting>
  <conditionalFormatting sqref="J12:J21">
    <cfRule type="expression" dxfId="353" priority="9">
      <formula>P12=1</formula>
    </cfRule>
  </conditionalFormatting>
  <conditionalFormatting sqref="J23:J31">
    <cfRule type="expression" dxfId="352" priority="1">
      <formula>P23=1</formula>
    </cfRule>
  </conditionalFormatting>
  <conditionalFormatting sqref="K37:K49">
    <cfRule type="expression" dxfId="351" priority="27">
      <formula>(K37&gt;R37)</formula>
    </cfRule>
  </conditionalFormatting>
  <conditionalFormatting sqref="K134">
    <cfRule type="cellIs" dxfId="350" priority="33" operator="notEqual">
      <formula>40</formula>
    </cfRule>
  </conditionalFormatting>
  <conditionalFormatting sqref="O85:P91">
    <cfRule type="expression" dxfId="349" priority="47">
      <formula>T82=1</formula>
    </cfRule>
  </conditionalFormatting>
  <conditionalFormatting sqref="O92:P92">
    <cfRule type="expression" dxfId="348" priority="54">
      <formula>T84=1</formula>
    </cfRule>
  </conditionalFormatting>
  <conditionalFormatting sqref="O93:P93">
    <cfRule type="expression" dxfId="347" priority="49">
      <formula>T84=1</formula>
    </cfRule>
  </conditionalFormatting>
  <conditionalFormatting sqref="O94:P94">
    <cfRule type="expression" dxfId="346" priority="48">
      <formula>T84=1</formula>
    </cfRule>
  </conditionalFormatting>
  <conditionalFormatting sqref="O95:P95">
    <cfRule type="expression" dxfId="345" priority="38">
      <formula>T84=1</formula>
    </cfRule>
  </conditionalFormatting>
  <conditionalFormatting sqref="O96:P96">
    <cfRule type="expression" dxfId="344" priority="21">
      <formula>T83=1</formula>
    </cfRule>
  </conditionalFormatting>
  <conditionalFormatting sqref="Q78:Q79">
    <cfRule type="expression" dxfId="343" priority="51">
      <formula>T68=1</formula>
    </cfRule>
  </conditionalFormatting>
  <conditionalFormatting sqref="Q80">
    <cfRule type="expression" dxfId="342" priority="43">
      <formula>S69=1</formula>
    </cfRule>
  </conditionalFormatting>
  <conditionalFormatting sqref="Q81">
    <cfRule type="expression" dxfId="341" priority="42">
      <formula>S69=1</formula>
    </cfRule>
  </conditionalFormatting>
  <conditionalFormatting sqref="Q37:R44">
    <cfRule type="expression" dxfId="340" priority="30">
      <formula>T34=1</formula>
    </cfRule>
  </conditionalFormatting>
  <conditionalFormatting sqref="Q45:R45">
    <cfRule type="expression" dxfId="339" priority="44">
      <formula>T37=1</formula>
    </cfRule>
  </conditionalFormatting>
  <conditionalFormatting sqref="Q46:R46">
    <cfRule type="expression" dxfId="338" priority="22">
      <formula>T37=1</formula>
    </cfRule>
  </conditionalFormatting>
  <conditionalFormatting sqref="Q47:R49">
    <cfRule type="expression" dxfId="337" priority="28">
      <formula>T37=1</formula>
    </cfRule>
  </conditionalFormatting>
  <conditionalFormatting sqref="Q54:R57">
    <cfRule type="expression" dxfId="336" priority="31">
      <formula>T51=1</formula>
    </cfRule>
  </conditionalFormatting>
  <conditionalFormatting sqref="Q58:R63">
    <cfRule type="expression" dxfId="335" priority="23">
      <formula>T52=1</formula>
    </cfRule>
  </conditionalFormatting>
  <conditionalFormatting sqref="Q64:R64">
    <cfRule type="expression" dxfId="334" priority="50">
      <formula>T53=1</formula>
    </cfRule>
  </conditionalFormatting>
  <conditionalFormatting sqref="Q70:R76">
    <cfRule type="expression" dxfId="333" priority="36">
      <formula>T66=1</formula>
    </cfRule>
  </conditionalFormatting>
  <conditionalFormatting sqref="Q77:R77">
    <cfRule type="expression" dxfId="332" priority="29">
      <formula>T68=1</formula>
    </cfRule>
  </conditionalFormatting>
  <conditionalFormatting sqref="Q101:R106 Q107:Q112 R109">
    <cfRule type="expression" dxfId="331" priority="39">
      <formula>T99=1</formula>
    </cfRule>
  </conditionalFormatting>
  <conditionalFormatting sqref="Q113:R113">
    <cfRule type="expression" dxfId="330" priority="34">
      <formula>#REF!=1</formula>
    </cfRule>
  </conditionalFormatting>
  <conditionalFormatting sqref="R78:R79">
    <cfRule type="expression" dxfId="329" priority="46">
      <formula>U67=1</formula>
    </cfRule>
  </conditionalFormatting>
  <conditionalFormatting sqref="R80">
    <cfRule type="expression" dxfId="328" priority="52">
      <formula>U67=1</formula>
    </cfRule>
  </conditionalFormatting>
  <conditionalFormatting sqref="R81">
    <cfRule type="expression" dxfId="327" priority="53">
      <formula>U69=1</formula>
    </cfRule>
  </conditionalFormatting>
  <conditionalFormatting sqref="R107:R108">
    <cfRule type="expression" dxfId="326" priority="55">
      <formula>U101=1</formula>
    </cfRule>
  </conditionalFormatting>
  <conditionalFormatting sqref="R110:R112">
    <cfRule type="expression" dxfId="325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B95A4A79-A633-47A6-BF45-1E9A6132438D}">
          <x14:formula1>
            <xm:f>'Grade Pós'!$A:$A</xm:f>
          </x14:formula1>
          <xm:sqref>A23:A31</xm:sqref>
        </x14:dataValidation>
        <x14:dataValidation type="list" allowBlank="1" showInputMessage="1" showErrorMessage="1" xr:uid="{E5592E0F-79BE-466A-83CB-70137F3BB32A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D9B8CD25-D45A-43C9-A311-A6E43B4166B5}">
          <x14:formula1>
            <xm:f>Profs!$A:$A</xm:f>
          </x14:formula1>
          <xm:sqref>A5</xm:sqref>
        </x14:dataValidation>
        <x14:dataValidation type="list" allowBlank="1" showInputMessage="1" showErrorMessage="1" xr:uid="{8D39E5E0-9A7C-4F35-846F-1EBC5DF061BB}">
          <x14:formula1>
            <xm:f>Dados!$A$108:$A$109</xm:f>
          </x14:formula1>
          <xm:sqref>D54:D64</xm:sqref>
        </x14:dataValidation>
        <x14:dataValidation type="list" allowBlank="1" showInputMessage="1" showErrorMessage="1" xr:uid="{95E563C6-93C8-4663-90DB-9F7F36282653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C1DCF866-A392-4D07-8B4D-53AE47AB2ECA}">
          <x14:formula1>
            <xm:f>Dados!$A$44:$A$78</xm:f>
          </x14:formula1>
          <xm:sqref>A101:A112</xm:sqref>
        </x14:dataValidation>
        <x14:dataValidation type="list" allowBlank="1" showInputMessage="1" showErrorMessage="1" xr:uid="{1F7121B1-6A01-40BC-A77F-9958F549CC91}">
          <x14:formula1>
            <xm:f>Dados!$A$95:$A$99</xm:f>
          </x14:formula1>
          <xm:sqref>D68</xm:sqref>
        </x14:dataValidation>
        <x14:dataValidation type="list" allowBlank="1" showInputMessage="1" showErrorMessage="1" xr:uid="{FA1E1147-9656-4B58-80C5-51D01225B09F}">
          <x14:formula1>
            <xm:f>Dados!$A$85:$A$90</xm:f>
          </x14:formula1>
          <xm:sqref>A37:A49</xm:sqref>
        </x14:dataValidation>
        <x14:dataValidation type="list" allowBlank="1" showInputMessage="1" showErrorMessage="1" xr:uid="{0A0CC811-D854-4B44-B2B1-D9E7875F60A1}">
          <x14:formula1>
            <xm:f>Dados!$A$38:$A$39</xm:f>
          </x14:formula1>
          <xm:sqref>H35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FAC1-66F1-4C12-9C76-A9A16012FD3F}">
  <sheetPr>
    <pageSetUpPr fitToPage="1"/>
  </sheetPr>
  <dimension ref="A1:W148"/>
  <sheetViews>
    <sheetView showGridLines="0" zoomScale="68" zoomScaleNormal="68" workbookViewId="0">
      <selection activeCell="J13" sqref="J13:K13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424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ASSOCIADO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201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6ª</v>
      </c>
      <c r="G12" s="184"/>
      <c r="H12" s="73">
        <v>3</v>
      </c>
      <c r="I12" s="73">
        <v>2</v>
      </c>
      <c r="J12" s="180">
        <v>6.5</v>
      </c>
      <c r="K12" s="181"/>
      <c r="L12" s="2">
        <f t="shared" ref="L12:L21" si="0">SUM(H12:I12)</f>
        <v>5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2.5</v>
      </c>
      <c r="R12" s="54">
        <f t="shared" ref="R12:R21" si="5">IFERROR(_xlfn.IFS($M$32=1,L12,$M$32=2,L12,$M$32=3,(L12*1.3),$M$32&gt;3,(L12*1.5)),0)</f>
        <v>6.5</v>
      </c>
    </row>
    <row r="13" spans="1:22" ht="15" customHeight="1" x14ac:dyDescent="0.25">
      <c r="A13" s="180" t="s">
        <v>209</v>
      </c>
      <c r="B13" s="181"/>
      <c r="C13" s="182"/>
      <c r="D13" s="183" t="str">
        <f>IFERROR(VLOOKUP(A13,TGradeCurricular[],2,0),"")</f>
        <v>Agronomia</v>
      </c>
      <c r="E13" s="184"/>
      <c r="F13" s="183" t="str">
        <f>IFERROR(VLOOKUP(A13,TGradeCurricular[],3,0),"")</f>
        <v>7ª</v>
      </c>
      <c r="G13" s="184"/>
      <c r="H13" s="73">
        <v>3</v>
      </c>
      <c r="I13" s="73">
        <v>1</v>
      </c>
      <c r="J13" s="185">
        <v>5.2</v>
      </c>
      <c r="K13" s="180"/>
      <c r="L13" s="2">
        <f t="shared" si="0"/>
        <v>4</v>
      </c>
      <c r="M13" s="3">
        <f t="shared" si="1"/>
        <v>1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2</v>
      </c>
      <c r="R13" s="54">
        <f t="shared" si="5"/>
        <v>5.2</v>
      </c>
    </row>
    <row r="14" spans="1:22" ht="15" customHeight="1" x14ac:dyDescent="0.25">
      <c r="A14" s="180" t="s">
        <v>261</v>
      </c>
      <c r="B14" s="181"/>
      <c r="C14" s="182"/>
      <c r="D14" s="183" t="str">
        <f>IFERROR(VLOOKUP(A14,TGradeCurricular[],2,0),"")</f>
        <v>Engenharia Florestal</v>
      </c>
      <c r="E14" s="184"/>
      <c r="F14" s="183" t="str">
        <f>IFERROR(VLOOKUP(A14,TGradeCurricular[],3,0),"")</f>
        <v>6ª</v>
      </c>
      <c r="G14" s="184"/>
      <c r="H14" s="73">
        <v>3</v>
      </c>
      <c r="I14" s="73">
        <v>0</v>
      </c>
      <c r="J14" s="185">
        <v>3.3</v>
      </c>
      <c r="K14" s="180"/>
      <c r="L14" s="2">
        <f t="shared" si="0"/>
        <v>3</v>
      </c>
      <c r="M14" s="3">
        <f t="shared" si="1"/>
        <v>1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1.5</v>
      </c>
      <c r="R14" s="54">
        <f t="shared" si="5"/>
        <v>3.9000000000000004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IFERROR(VLOOKUP(Olivio!$A23,'Grade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IFERROR(VLOOKUP(Olivio!$A24,'Grade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IFERROR(VLOOKUP(Olivio!$A25,'Grade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IFERROR(VLOOKUP(Olivio!$A26,'Grade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IFERROR(VLOOKUP(Olivio!$A27,'Grade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IFERROR(VLOOKUP(Olivio!$A28,'Grade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IFERROR(VLOOKUP(Olivio!$A29,'Grade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IFERROR(VLOOKUP(Olivio!$A30,'Grade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IFERROR(VLOOKUP(Olivio!$A31,'Grade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15</v>
      </c>
      <c r="K32" s="99">
        <f>SUM(J12:J31)</f>
        <v>15</v>
      </c>
      <c r="L32" s="4">
        <f>SUM(L12:L31)</f>
        <v>12</v>
      </c>
      <c r="M32" s="5">
        <f>SUM(M12:M31)</f>
        <v>3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6</v>
      </c>
      <c r="R32" s="101">
        <f t="shared" si="9"/>
        <v>15.600000000000001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IFERROR(VLOOKUP(Olivio!$D54,Tabela20[],2,0),0)</f>
        <v>0</v>
      </c>
      <c r="R54" s="54">
        <f>IFERROR(VLOOKUP(Olivio!$D54,Tabela20[],3,0),0)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IFERROR(VLOOKUP(Olivio!$D55,Tabela20[],2,0),0)</f>
        <v>0</v>
      </c>
      <c r="R55" s="54">
        <f>IFERROR(VLOOKUP(Olivio!$D55,Tabela20[],3,0),0)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IFERROR(VLOOKUP(Olivio!$D56,Tabela20[],2,0),0)</f>
        <v>0</v>
      </c>
      <c r="R56" s="54">
        <f>IFERROR(VLOOKUP(Olivio!$D56,Tabela20[],3,0),0)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IFERROR(VLOOKUP(Olivio!$D57,Tabela20[],2,0),0)</f>
        <v>0</v>
      </c>
      <c r="R57" s="54">
        <f>IFERROR(VLOOKUP(Olivio!$D57,Tabela20[],3,0),0)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IFERROR(VLOOKUP(Olivio!$D58,Tabela20[],2,0),0)</f>
        <v>0</v>
      </c>
      <c r="R58" s="54">
        <f>IFERROR(VLOOKUP(Olivio!$D58,Tabela20[],3,0),0)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IFERROR(VLOOKUP(Olivio!$D59,Tabela20[],2,0),0)</f>
        <v>0</v>
      </c>
      <c r="R59" s="54">
        <f>IFERROR(VLOOKUP(Olivio!$D59,Tabela20[],3,0),0)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IFERROR(VLOOKUP(Olivio!$D60,Tabela20[],2,0),0)</f>
        <v>0</v>
      </c>
      <c r="R60" s="54">
        <f>IFERROR(VLOOKUP(Olivio!$D60,Tabela20[],3,0),0)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IFERROR(VLOOKUP(Olivio!$D61,Tabela20[],2,0),0)</f>
        <v>0</v>
      </c>
      <c r="R61" s="54">
        <f>IFERROR(VLOOKUP(Olivio!$D61,Tabela20[],3,0),0)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IFERROR(VLOOKUP(Olivio!$D62,Tabela20[],2,0),0)</f>
        <v>0</v>
      </c>
      <c r="R62" s="54">
        <f>IFERROR(VLOOKUP(Olivio!$D62,Tabela20[],3,0),0)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IFERROR(VLOOKUP(Olivio!$D63,Tabela20[],2,0),0)</f>
        <v>0</v>
      </c>
      <c r="R63" s="54">
        <f>IFERROR(VLOOKUP(Olivio!$D63,Tabela20[],3,0),0)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IFERROR(VLOOKUP(Olivio!$D64,Tabela20[],2,0),0)</f>
        <v>0</v>
      </c>
      <c r="R64" s="114">
        <f>IFERROR(VLOOKUP(Olivio!$D64,Tabela20[],3,0),0)</f>
        <v>0</v>
      </c>
    </row>
    <row r="65" spans="1:23" s="89" customFormat="1" hidden="1" x14ac:dyDescent="0.25">
      <c r="A65" s="89" t="s">
        <v>756</v>
      </c>
      <c r="F65" s="124">
        <f>SUM(Olivio!$F$54:$F$64)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6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IFERROR(VLOOKUP(Olivio!$D70,Tabela11[],2),0)</f>
        <v>0</v>
      </c>
      <c r="R70" s="54">
        <f>IFERROR(VLOOKUP(Olivio!$D70,Tabela11[],3),0)</f>
        <v>6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IFERROR(VLOOKUP(Olivio!$D71,Tabela11[],2),0)</f>
        <v>0</v>
      </c>
      <c r="R71" s="54">
        <f>IFERROR(VLOOKUP(Olivio!$D71,Tabela11[],3),0)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IFERROR(VLOOKUP(Olivio!$D72,Tabela11[],2),0)</f>
        <v>0</v>
      </c>
      <c r="R72" s="54">
        <f>IFERROR(VLOOKUP(Olivio!$D72,Tabela11[],3),0)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IFERROR(VLOOKUP(Olivio!$D73,Tabela11[],2),0)</f>
        <v>0</v>
      </c>
      <c r="R73" s="54">
        <f>IFERROR(VLOOKUP(Olivio!$D73,Tabela11[],3),0)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IFERROR(VLOOKUP(Olivio!$D74,Tabela11[],2),0)</f>
        <v>0</v>
      </c>
      <c r="R74" s="54">
        <f>IFERROR(VLOOKUP(Olivio!$D74,Tabela11[],3),0)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IFERROR(VLOOKUP(Olivio!$D75,Tabela11[],2),0)</f>
        <v>0</v>
      </c>
      <c r="R75" s="54">
        <f>IFERROR(VLOOKUP(Olivio!$D75,Tabela11[],3),0)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IFERROR(VLOOKUP(Olivio!$D76,Tabela11[],2),0)</f>
        <v>0</v>
      </c>
      <c r="R76" s="54">
        <f>IFERROR(VLOOKUP(Olivio!$D76,Tabela11[],3),0)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IFERROR(VLOOKUP(Olivio!$D77,Tabela11[],2),0)</f>
        <v>0</v>
      </c>
      <c r="R77" s="54">
        <f>IFERROR(VLOOKUP(Olivio!$D77,Tabela11[],3),0)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IFERROR(VLOOKUP(Olivio!$D78,Tabela11[],2),0)</f>
        <v>0</v>
      </c>
      <c r="R78" s="54">
        <f>IFERROR(VLOOKUP(Olivio!$D78,Tabela11[],3),0)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IFERROR(VLOOKUP(Olivio!$D79,Tabela11[],2),0)</f>
        <v>0</v>
      </c>
      <c r="R79" s="54">
        <f>IFERROR(VLOOKUP(Olivio!$D79,Tabela11[],3),0)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IFERROR(VLOOKUP(Olivio!$D80,Tabela11[],2),0)</f>
        <v>0</v>
      </c>
      <c r="R80" s="114">
        <f>IFERROR(VLOOKUP(Olivio!$D80,Tabela11[],3),0)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6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IFERROR(VLOOKUP(Olivio!$D85,Tabela21[],2,0),0)</f>
        <v>0</v>
      </c>
      <c r="P85" s="54">
        <f>IFERROR(VLOOKUP(Olivio!$D85,Tabela21[],3,0),0)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IFERROR(VLOOKUP(Olivio!$D86,Tabela21[],2,0),0)</f>
        <v>0</v>
      </c>
      <c r="P86" s="54">
        <f>IFERROR(VLOOKUP(Olivio!$D86,Tabela21[],3,0),0)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IFERROR(VLOOKUP(Olivio!$D87,Tabela21[],2,0),0)</f>
        <v>0</v>
      </c>
      <c r="P87" s="54">
        <f>IFERROR(VLOOKUP(Olivio!$D87,Tabela21[],3,0),0)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IFERROR(VLOOKUP(Olivio!$D88,Tabela21[],2,0),0)</f>
        <v>0</v>
      </c>
      <c r="P88" s="54">
        <f>IFERROR(VLOOKUP(Olivio!$D88,Tabela21[],3,0),0)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IFERROR(VLOOKUP(Olivio!$D89,Tabela21[],2,0),0)</f>
        <v>0</v>
      </c>
      <c r="P89" s="54">
        <f>IFERROR(VLOOKUP(Olivio!$D89,Tabela21[],3,0),0)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IFERROR(VLOOKUP(Olivio!$D90,Tabela21[],2,0),0)</f>
        <v>0</v>
      </c>
      <c r="P90" s="54">
        <f>IFERROR(VLOOKUP(Olivio!$D90,Tabela21[],3,0),0)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IFERROR(VLOOKUP(Olivio!$D91,Tabela21[],2,0),0)</f>
        <v>0</v>
      </c>
      <c r="P91" s="54">
        <f>IFERROR(VLOOKUP(Olivio!$D91,Tabela21[],3,0),0)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IFERROR(VLOOKUP(Olivio!$D92,Tabela21[],2,0),0)</f>
        <v>0</v>
      </c>
      <c r="P92" s="54">
        <f>IFERROR(VLOOKUP(Olivio!$D92,Tabela21[],3,0),0)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IFERROR(VLOOKUP(Olivio!$D93,Tabela21[],2,0),0)</f>
        <v>0</v>
      </c>
      <c r="P93" s="54">
        <f>IFERROR(VLOOKUP(Olivio!$D93,Tabela21[],3,0),0)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IFERROR(VLOOKUP(Olivio!$D94,Tabela21[],2,0),0)</f>
        <v>0</v>
      </c>
      <c r="P94" s="54">
        <f>IFERROR(VLOOKUP(Olivio!$D94,Tabela21[],3,0),0)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IFERROR(VLOOKUP(Olivio!$D95,Tabela21[],2,0),0)</f>
        <v>0</v>
      </c>
      <c r="P95" s="54">
        <f>IFERROR(VLOOKUP(Olivio!$D95,Tabela21[],3,0),0)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IFERROR(VLOOKUP(Olivio!$D96,Tabela21[],2,0),0)</f>
        <v>0</v>
      </c>
      <c r="P96" s="54">
        <f>IFERROR(VLOOKUP(Olivio!$D96,Tabela21[],3,0),0)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IFERROR(VLOOKUP(Olivio!$D97,Tabela21[],2,0),0)</f>
        <v>0</v>
      </c>
      <c r="P97" s="136">
        <f>IFERROR(VLOOKUP(Olivio!$D97,Tabela21[],3,0),0)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810</v>
      </c>
      <c r="B101" s="181"/>
      <c r="C101" s="182"/>
      <c r="D101" s="180"/>
      <c r="E101" s="182"/>
      <c r="F101" s="73">
        <v>1</v>
      </c>
      <c r="G101" s="180"/>
      <c r="H101" s="182"/>
      <c r="I101" s="218"/>
      <c r="J101" s="219"/>
      <c r="K101" s="75"/>
      <c r="L101" s="2">
        <f>IFERROR(VLOOKUP(Olivio!$A101,TFunçõesAdm[],3,0),40)</f>
        <v>39</v>
      </c>
      <c r="M101" s="3"/>
      <c r="N101" s="95"/>
      <c r="O101" s="95"/>
      <c r="P101" s="95"/>
      <c r="Q101" s="52">
        <v>0</v>
      </c>
      <c r="R101" s="54">
        <f>IFERROR(VLOOKUP(A101,TFunçõesAdm[],2,FALSE),0)</f>
        <v>1</v>
      </c>
    </row>
    <row r="102" spans="1:22" x14ac:dyDescent="0.25">
      <c r="A102" s="180" t="s">
        <v>816</v>
      </c>
      <c r="B102" s="181"/>
      <c r="C102" s="182"/>
      <c r="D102" s="180"/>
      <c r="E102" s="182"/>
      <c r="F102" s="73">
        <v>2</v>
      </c>
      <c r="G102" s="180"/>
      <c r="H102" s="182"/>
      <c r="I102" s="218"/>
      <c r="J102" s="219"/>
      <c r="K102" s="75"/>
      <c r="L102" s="2">
        <f>IFERROR(VLOOKUP(Olivio!$A102,TFunçõesAdm[],3,0),40)</f>
        <v>37</v>
      </c>
      <c r="M102" s="3"/>
      <c r="N102" s="95"/>
      <c r="O102" s="95"/>
      <c r="P102" s="95"/>
      <c r="Q102" s="52">
        <v>0</v>
      </c>
      <c r="R102" s="54">
        <f>IFERROR(VLOOKUP(A102,TFunçõesAdm[],2,FALSE),0)</f>
        <v>3</v>
      </c>
    </row>
    <row r="103" spans="1:22" ht="24" customHeight="1" x14ac:dyDescent="0.25">
      <c r="A103" s="180" t="s">
        <v>804</v>
      </c>
      <c r="B103" s="181"/>
      <c r="C103" s="182"/>
      <c r="D103" s="180"/>
      <c r="E103" s="182"/>
      <c r="F103" s="73">
        <v>5</v>
      </c>
      <c r="G103" s="180"/>
      <c r="H103" s="182"/>
      <c r="I103" s="218"/>
      <c r="J103" s="219"/>
      <c r="K103" s="75"/>
      <c r="L103" s="2">
        <f>IFERROR(VLOOKUP(Olivio!$A103,TFunçõesAdm[],3,0),40)</f>
        <v>35</v>
      </c>
      <c r="M103" s="3"/>
      <c r="N103" s="95"/>
      <c r="O103" s="95"/>
      <c r="P103" s="95"/>
      <c r="Q103" s="52">
        <v>0</v>
      </c>
      <c r="R103" s="54">
        <f>IFERROR(VLOOKUP(A103,TFunçõesAdm[],2,FALSE),0)</f>
        <v>5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IFERROR(VLOOKUP(Olivio!$A104,TFunçõesAdm[],3,0),40)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IFERROR(VLOOKUP(Olivio!$A105,TFunçõesAdm[],3,0),40)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IFERROR(VLOOKUP(Olivio!$A106,TFunçõesAdm[],3,0),40)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IFERROR(VLOOKUP(Olivio!$A107,TFunçõesAdm[],3,0),40)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IFERROR(VLOOKUP(Olivio!$A108,TFunçõesAdm[],3,0),40)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IFERROR(VLOOKUP(Olivio!$A109,TFunçõesAdm[],3,0),40)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IFERROR(VLOOKUP(Olivio!$A110,TFunçõesAdm[],3,0),40)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IFERROR(VLOOKUP(Olivio!$A111,TFunçõesAdm[],3,0),40)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IFERROR(VLOOKUP(Olivio!$A112,TFunçõesAdm[],3,0),40)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8</v>
      </c>
      <c r="G113" s="124"/>
      <c r="H113" s="89"/>
      <c r="I113" s="124"/>
      <c r="J113" s="124"/>
      <c r="K113" s="89"/>
      <c r="L113" s="104">
        <f>MIN(Olivio!$L$101:$L$112)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SUM(Olivio!$F$123:$F$124)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12</v>
      </c>
      <c r="B134" s="143">
        <f>K32</f>
        <v>15</v>
      </c>
      <c r="C134" s="143">
        <f>K50</f>
        <v>0</v>
      </c>
      <c r="D134" s="143">
        <f>F65</f>
        <v>0</v>
      </c>
      <c r="E134" s="143">
        <f>F81</f>
        <v>6</v>
      </c>
      <c r="F134" s="143">
        <f>F97</f>
        <v>0</v>
      </c>
      <c r="G134" s="143">
        <f>F113</f>
        <v>8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41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Olívo José Soccol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12</v>
      </c>
      <c r="G148" s="71">
        <f>SUM(H23:I31)</f>
        <v>0</v>
      </c>
      <c r="H148" s="71">
        <f>B134</f>
        <v>15</v>
      </c>
      <c r="I148" s="71">
        <f>C134</f>
        <v>0</v>
      </c>
      <c r="J148" s="71">
        <f>E134</f>
        <v>6</v>
      </c>
      <c r="K148" s="71">
        <f>F134</f>
        <v>0</v>
      </c>
      <c r="Q148" s="71">
        <v>0</v>
      </c>
      <c r="R148" s="71">
        <f>D134</f>
        <v>0</v>
      </c>
      <c r="S148" s="71">
        <f>G134</f>
        <v>8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41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324" priority="26">
      <formula>se+$A$134&lt;$L$35</formula>
    </cfRule>
    <cfRule type="cellIs" dxfId="323" priority="25" operator="lessThan">
      <formula>M35</formula>
    </cfRule>
  </conditionalFormatting>
  <conditionalFormatting sqref="B134">
    <cfRule type="expression" dxfId="322" priority="35">
      <formula>P32=1</formula>
    </cfRule>
  </conditionalFormatting>
  <conditionalFormatting sqref="E134">
    <cfRule type="expression" dxfId="321" priority="20">
      <formula>($E$134&gt;$L$68)</formula>
    </cfRule>
  </conditionalFormatting>
  <conditionalFormatting sqref="F54:F64">
    <cfRule type="cellIs" dxfId="320" priority="18" operator="greaterThan">
      <formula>R54</formula>
    </cfRule>
  </conditionalFormatting>
  <conditionalFormatting sqref="F101:F112">
    <cfRule type="cellIs" dxfId="319" priority="3" operator="notBetween">
      <formula>Q101</formula>
      <formula>R101</formula>
    </cfRule>
  </conditionalFormatting>
  <conditionalFormatting sqref="F70:G80">
    <cfRule type="cellIs" dxfId="318" priority="2" operator="notBetween">
      <formula>Q70</formula>
      <formula>R70</formula>
    </cfRule>
  </conditionalFormatting>
  <conditionalFormatting sqref="J12:J21">
    <cfRule type="expression" dxfId="317" priority="9">
      <formula>P12=1</formula>
    </cfRule>
  </conditionalFormatting>
  <conditionalFormatting sqref="J23:J31">
    <cfRule type="expression" dxfId="316" priority="1">
      <formula>P23=1</formula>
    </cfRule>
  </conditionalFormatting>
  <conditionalFormatting sqref="K37:K49">
    <cfRule type="expression" dxfId="315" priority="27">
      <formula>(K37&gt;R37)</formula>
    </cfRule>
  </conditionalFormatting>
  <conditionalFormatting sqref="K134">
    <cfRule type="cellIs" dxfId="314" priority="33" operator="notEqual">
      <formula>40</formula>
    </cfRule>
  </conditionalFormatting>
  <conditionalFormatting sqref="O85:P91">
    <cfRule type="expression" dxfId="313" priority="47">
      <formula>T82=1</formula>
    </cfRule>
  </conditionalFormatting>
  <conditionalFormatting sqref="O92:P92">
    <cfRule type="expression" dxfId="312" priority="54">
      <formula>T84=1</formula>
    </cfRule>
  </conditionalFormatting>
  <conditionalFormatting sqref="O93:P93">
    <cfRule type="expression" dxfId="311" priority="49">
      <formula>T84=1</formula>
    </cfRule>
  </conditionalFormatting>
  <conditionalFormatting sqref="O94:P94">
    <cfRule type="expression" dxfId="310" priority="48">
      <formula>T84=1</formula>
    </cfRule>
  </conditionalFormatting>
  <conditionalFormatting sqref="O95:P95">
    <cfRule type="expression" dxfId="309" priority="38">
      <formula>T84=1</formula>
    </cfRule>
  </conditionalFormatting>
  <conditionalFormatting sqref="O96:P96">
    <cfRule type="expression" dxfId="308" priority="21">
      <formula>T83=1</formula>
    </cfRule>
  </conditionalFormatting>
  <conditionalFormatting sqref="Q78:Q79">
    <cfRule type="expression" dxfId="307" priority="51">
      <formula>T68=1</formula>
    </cfRule>
  </conditionalFormatting>
  <conditionalFormatting sqref="Q80">
    <cfRule type="expression" dxfId="306" priority="43">
      <formula>S69=1</formula>
    </cfRule>
  </conditionalFormatting>
  <conditionalFormatting sqref="Q81">
    <cfRule type="expression" dxfId="305" priority="42">
      <formula>S69=1</formula>
    </cfRule>
  </conditionalFormatting>
  <conditionalFormatting sqref="Q37:R44">
    <cfRule type="expression" dxfId="304" priority="30">
      <formula>T34=1</formula>
    </cfRule>
  </conditionalFormatting>
  <conditionalFormatting sqref="Q45:R45">
    <cfRule type="expression" dxfId="303" priority="44">
      <formula>T37=1</formula>
    </cfRule>
  </conditionalFormatting>
  <conditionalFormatting sqref="Q46:R46">
    <cfRule type="expression" dxfId="302" priority="22">
      <formula>T37=1</formula>
    </cfRule>
  </conditionalFormatting>
  <conditionalFormatting sqref="Q47:R49">
    <cfRule type="expression" dxfId="301" priority="28">
      <formula>T37=1</formula>
    </cfRule>
  </conditionalFormatting>
  <conditionalFormatting sqref="Q54:R57">
    <cfRule type="expression" dxfId="300" priority="31">
      <formula>T51=1</formula>
    </cfRule>
  </conditionalFormatting>
  <conditionalFormatting sqref="Q58:R63">
    <cfRule type="expression" dxfId="299" priority="23">
      <formula>T52=1</formula>
    </cfRule>
  </conditionalFormatting>
  <conditionalFormatting sqref="Q64:R64">
    <cfRule type="expression" dxfId="298" priority="50">
      <formula>T53=1</formula>
    </cfRule>
  </conditionalFormatting>
  <conditionalFormatting sqref="Q70:R76">
    <cfRule type="expression" dxfId="297" priority="36">
      <formula>T66=1</formula>
    </cfRule>
  </conditionalFormatting>
  <conditionalFormatting sqref="Q77:R77">
    <cfRule type="expression" dxfId="296" priority="29">
      <formula>T68=1</formula>
    </cfRule>
  </conditionalFormatting>
  <conditionalFormatting sqref="Q101:R106 Q107:Q112 R109">
    <cfRule type="expression" dxfId="295" priority="39">
      <formula>T99=1</formula>
    </cfRule>
  </conditionalFormatting>
  <conditionalFormatting sqref="Q113:R113">
    <cfRule type="expression" dxfId="294" priority="34">
      <formula>#REF!=1</formula>
    </cfRule>
  </conditionalFormatting>
  <conditionalFormatting sqref="R78:R79">
    <cfRule type="expression" dxfId="293" priority="46">
      <formula>U67=1</formula>
    </cfRule>
  </conditionalFormatting>
  <conditionalFormatting sqref="R80">
    <cfRule type="expression" dxfId="292" priority="52">
      <formula>U67=1</formula>
    </cfRule>
  </conditionalFormatting>
  <conditionalFormatting sqref="R81">
    <cfRule type="expression" dxfId="291" priority="53">
      <formula>U69=1</formula>
    </cfRule>
  </conditionalFormatting>
  <conditionalFormatting sqref="R107:R108">
    <cfRule type="expression" dxfId="290" priority="55">
      <formula>U101=1</formula>
    </cfRule>
  </conditionalFormatting>
  <conditionalFormatting sqref="R110:R112">
    <cfRule type="expression" dxfId="289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06147D6-C6BF-425A-B408-4A6819B903BE}">
          <x14:formula1>
            <xm:f>Dados!$A$38:$A$39</xm:f>
          </x14:formula1>
          <xm:sqref>H35</xm:sqref>
        </x14:dataValidation>
        <x14:dataValidation type="list" allowBlank="1" showInputMessage="1" showErrorMessage="1" xr:uid="{A2D4DF1B-97E2-499A-B7D5-FD24AAE62301}">
          <x14:formula1>
            <xm:f>Dados!$A$85:$A$90</xm:f>
          </x14:formula1>
          <xm:sqref>A37:A49</xm:sqref>
        </x14:dataValidation>
        <x14:dataValidation type="list" allowBlank="1" showInputMessage="1" showErrorMessage="1" xr:uid="{D348A17B-F9CC-4C44-9CD9-DC7730B00672}">
          <x14:formula1>
            <xm:f>Dados!$A$95:$A$99</xm:f>
          </x14:formula1>
          <xm:sqref>D68</xm:sqref>
        </x14:dataValidation>
        <x14:dataValidation type="list" allowBlank="1" showInputMessage="1" showErrorMessage="1" xr:uid="{991AA1A4-8BDC-4D83-B025-4FF6E7E354DF}">
          <x14:formula1>
            <xm:f>Dados!$A$44:$A$78</xm:f>
          </x14:formula1>
          <xm:sqref>A101:A112</xm:sqref>
        </x14:dataValidation>
        <x14:dataValidation type="list" allowBlank="1" showInputMessage="1" showErrorMessage="1" xr:uid="{8BBF64DA-01AB-4B16-81E9-CAEAB8E446B4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F5DA3D1F-38C7-4E37-AC68-720CF116757F}">
          <x14:formula1>
            <xm:f>Dados!$A$108:$A$109</xm:f>
          </x14:formula1>
          <xm:sqref>D54:D64</xm:sqref>
        </x14:dataValidation>
        <x14:dataValidation type="list" allowBlank="1" showInputMessage="1" showErrorMessage="1" xr:uid="{22D9550E-BD90-4E39-966D-49BE9B4FDC48}">
          <x14:formula1>
            <xm:f>Profs!$A:$A</xm:f>
          </x14:formula1>
          <xm:sqref>A5</xm:sqref>
        </x14:dataValidation>
        <x14:dataValidation type="list" allowBlank="1" showInputMessage="1" showErrorMessage="1" xr:uid="{3F72E758-5507-4D5D-92E5-EC8DE920AF83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F9FE91D9-CE0F-4B2C-B6B2-5FFCC2530CB8}">
          <x14:formula1>
            <xm:f>'Grade Pós'!$A:$A</xm:f>
          </x14:formula1>
          <xm:sqref>A23:A31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EF9D6-B1B5-4704-96F8-B4A1FD4DA11A}">
  <sheetPr>
    <pageSetUpPr fitToPage="1"/>
  </sheetPr>
  <dimension ref="A1:W148"/>
  <sheetViews>
    <sheetView showGridLines="0" zoomScale="66" zoomScaleNormal="66" workbookViewId="0">
      <selection activeCell="J13" sqref="J13:K13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426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Efetivo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Dedicação Integral</v>
      </c>
      <c r="I8" s="160" t="str">
        <f>VLOOKUP(A5,TProfessores[],6,0)</f>
        <v>40 h</v>
      </c>
      <c r="J8" s="171" t="str">
        <f>VLOOKUP(A5,TProfessores[],8,0)</f>
        <v>TITULAR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200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6ª</v>
      </c>
      <c r="G12" s="184"/>
      <c r="H12" s="73">
        <v>3</v>
      </c>
      <c r="I12" s="73">
        <v>2</v>
      </c>
      <c r="J12" s="180">
        <v>5</v>
      </c>
      <c r="K12" s="181"/>
      <c r="L12" s="2">
        <f t="shared" ref="L12:L21" si="0">SUM(H12:I12)</f>
        <v>5</v>
      </c>
      <c r="M12" s="3">
        <f t="shared" ref="M12:M21" si="1">IF(A12&lt;&gt;0,1,0)</f>
        <v>1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2.5</v>
      </c>
      <c r="R12" s="54">
        <f t="shared" ref="R12:R21" si="5">IFERROR(_xlfn.IFS($M$32=1,L12,$M$32=2,L12,$M$32=3,(L12*1.3),$M$32&gt;3,(L12*1.5)),0)</f>
        <v>5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/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 t="s">
        <v>831</v>
      </c>
      <c r="B23" s="181"/>
      <c r="C23" s="182"/>
      <c r="D23" s="183" t="str">
        <f>IFERROR(VLOOKUP(Ricardo!$A23,'Grade Pós'!A:B,2,0),"")</f>
        <v>PROGRAMA</v>
      </c>
      <c r="E23" s="200"/>
      <c r="F23" s="200"/>
      <c r="G23" s="184"/>
      <c r="H23" s="180">
        <v>4</v>
      </c>
      <c r="I23" s="182"/>
      <c r="J23" s="185">
        <v>4</v>
      </c>
      <c r="K23" s="185"/>
      <c r="L23" s="2">
        <f>SUM(H23:I23)</f>
        <v>4</v>
      </c>
      <c r="M23" s="3">
        <f>IF(A23&lt;&gt;0,1,0)</f>
        <v>1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2</v>
      </c>
      <c r="R23" s="54">
        <f t="shared" ref="R23:R32" si="9">IFERROR(_xlfn.IFS($M$32=1,L23,$M$32=2,L23,$M$32=3,(L23*1.3),$M$32&gt;3,(L23*1.5)),0)</f>
        <v>4</v>
      </c>
    </row>
    <row r="24" spans="1:22" ht="26.25" customHeight="1" x14ac:dyDescent="0.25">
      <c r="A24" s="180"/>
      <c r="B24" s="181"/>
      <c r="C24" s="182"/>
      <c r="D24" s="183" t="str">
        <f>IFERROR(VLOOKUP(Ricardo!$A24,'Grade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IFERROR(VLOOKUP(Ricardo!$A25,'Grade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IFERROR(VLOOKUP(Ricardo!$A26,'Grade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IFERROR(VLOOKUP(Ricardo!$A27,'Grade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IFERROR(VLOOKUP(Ricardo!$A28,'Grade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IFERROR(VLOOKUP(Ricardo!$A29,'Grade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IFERROR(VLOOKUP(Ricardo!$A30,'Grade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IFERROR(VLOOKUP(Ricardo!$A31,'Grade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5</v>
      </c>
      <c r="K32" s="99">
        <f>SUM(J12:J31)</f>
        <v>9</v>
      </c>
      <c r="L32" s="4">
        <f>SUM(L12:L31)</f>
        <v>9</v>
      </c>
      <c r="M32" s="5">
        <f>SUM(M12:M31)</f>
        <v>2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4.5</v>
      </c>
      <c r="R32" s="101">
        <f t="shared" si="9"/>
        <v>9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787</v>
      </c>
      <c r="I35" t="str">
        <f>IFERROR(VLOOKUP(H35,TCapes[],2),"")</f>
        <v>1 -Permite Alocar Carga Horária Mínima de 8 Créditos  de Ensino</v>
      </c>
      <c r="L35" s="104">
        <f>IF(H35="2 Não",12,8)</f>
        <v>8</v>
      </c>
      <c r="M35" s="104">
        <f>MIN(L35,L113)</f>
        <v>8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 t="s">
        <v>113</v>
      </c>
      <c r="B37" s="181"/>
      <c r="C37" s="182"/>
      <c r="D37" s="180"/>
      <c r="E37" s="181"/>
      <c r="F37" s="181"/>
      <c r="G37" s="182"/>
      <c r="H37" s="73"/>
      <c r="I37" s="180"/>
      <c r="J37" s="182"/>
      <c r="K37" s="73">
        <v>3</v>
      </c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3</v>
      </c>
    </row>
    <row r="38" spans="1:22" x14ac:dyDescent="0.25">
      <c r="A38" s="180" t="s">
        <v>113</v>
      </c>
      <c r="B38" s="181"/>
      <c r="C38" s="182"/>
      <c r="D38" s="180"/>
      <c r="E38" s="181"/>
      <c r="F38" s="181"/>
      <c r="G38" s="182"/>
      <c r="H38" s="73"/>
      <c r="I38" s="180"/>
      <c r="J38" s="182"/>
      <c r="K38" s="73">
        <v>3</v>
      </c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3</v>
      </c>
    </row>
    <row r="39" spans="1:22" x14ac:dyDescent="0.25">
      <c r="A39" s="180" t="s">
        <v>113</v>
      </c>
      <c r="B39" s="181"/>
      <c r="C39" s="182"/>
      <c r="D39" s="180"/>
      <c r="E39" s="181"/>
      <c r="F39" s="181"/>
      <c r="G39" s="182"/>
      <c r="H39" s="73"/>
      <c r="I39" s="180"/>
      <c r="J39" s="182"/>
      <c r="K39" s="73">
        <v>3</v>
      </c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3</v>
      </c>
    </row>
    <row r="40" spans="1:22" x14ac:dyDescent="0.25">
      <c r="A40" s="180" t="s">
        <v>113</v>
      </c>
      <c r="B40" s="181"/>
      <c r="C40" s="182"/>
      <c r="D40" s="180"/>
      <c r="E40" s="181"/>
      <c r="F40" s="181"/>
      <c r="G40" s="182"/>
      <c r="H40" s="73"/>
      <c r="I40" s="180"/>
      <c r="J40" s="182"/>
      <c r="K40" s="73">
        <v>3</v>
      </c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3</v>
      </c>
    </row>
    <row r="41" spans="1:22" x14ac:dyDescent="0.25">
      <c r="A41" s="180" t="s">
        <v>113</v>
      </c>
      <c r="B41" s="181"/>
      <c r="C41" s="182"/>
      <c r="D41" s="180"/>
      <c r="E41" s="181"/>
      <c r="F41" s="181"/>
      <c r="G41" s="182"/>
      <c r="H41" s="73"/>
      <c r="I41" s="180"/>
      <c r="J41" s="182"/>
      <c r="K41" s="73">
        <v>3</v>
      </c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3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15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15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IFERROR(VLOOKUP(Ricardo!$D54,Tabela20[],2,0),0)</f>
        <v>0</v>
      </c>
      <c r="R54" s="54">
        <f>IFERROR(VLOOKUP(Ricardo!$D54,Tabela20[],3,0),0)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IFERROR(VLOOKUP(Ricardo!$D55,Tabela20[],2,0),0)</f>
        <v>0</v>
      </c>
      <c r="R55" s="54">
        <f>IFERROR(VLOOKUP(Ricardo!$D55,Tabela20[],3,0),0)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IFERROR(VLOOKUP(Ricardo!$D56,Tabela20[],2,0),0)</f>
        <v>0</v>
      </c>
      <c r="R56" s="54">
        <f>IFERROR(VLOOKUP(Ricardo!$D56,Tabela20[],3,0),0)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IFERROR(VLOOKUP(Ricardo!$D57,Tabela20[],2,0),0)</f>
        <v>0</v>
      </c>
      <c r="R57" s="54">
        <f>IFERROR(VLOOKUP(Ricardo!$D57,Tabela20[],3,0),0)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IFERROR(VLOOKUP(Ricardo!$D58,Tabela20[],2,0),0)</f>
        <v>0</v>
      </c>
      <c r="R58" s="54">
        <f>IFERROR(VLOOKUP(Ricardo!$D58,Tabela20[],3,0),0)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IFERROR(VLOOKUP(Ricardo!$D59,Tabela20[],2,0),0)</f>
        <v>0</v>
      </c>
      <c r="R59" s="54">
        <f>IFERROR(VLOOKUP(Ricardo!$D59,Tabela20[],3,0),0)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IFERROR(VLOOKUP(Ricardo!$D60,Tabela20[],2,0),0)</f>
        <v>0</v>
      </c>
      <c r="R60" s="54">
        <f>IFERROR(VLOOKUP(Ricardo!$D60,Tabela20[],3,0),0)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IFERROR(VLOOKUP(Ricardo!$D61,Tabela20[],2,0),0)</f>
        <v>0</v>
      </c>
      <c r="R61" s="54">
        <f>IFERROR(VLOOKUP(Ricardo!$D61,Tabela20[],3,0),0)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IFERROR(VLOOKUP(Ricardo!$D62,Tabela20[],2,0),0)</f>
        <v>0</v>
      </c>
      <c r="R62" s="54">
        <f>IFERROR(VLOOKUP(Ricardo!$D62,Tabela20[],3,0),0)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IFERROR(VLOOKUP(Ricardo!$D63,Tabela20[],2,0),0)</f>
        <v>0</v>
      </c>
      <c r="R63" s="54">
        <f>IFERROR(VLOOKUP(Ricardo!$D63,Tabela20[],3,0),0)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IFERROR(VLOOKUP(Ricardo!$D64,Tabela20[],2,0),0)</f>
        <v>0</v>
      </c>
      <c r="R64" s="114">
        <f>IFERROR(VLOOKUP(Ricardo!$D64,Tabela20[],3,0),0)</f>
        <v>0</v>
      </c>
    </row>
    <row r="65" spans="1:23" s="89" customFormat="1" hidden="1" x14ac:dyDescent="0.25">
      <c r="A65" s="89" t="s">
        <v>756</v>
      </c>
      <c r="F65" s="124">
        <f>SUM(Ricardo!$F$54:$F$64)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 t="s">
        <v>776</v>
      </c>
      <c r="E68" s="217"/>
      <c r="F68" s="217"/>
      <c r="G68" s="217"/>
      <c r="H68" s="217"/>
      <c r="L68" s="89">
        <f>VLOOKUP(D68,TabPesquisa[],3)</f>
        <v>10</v>
      </c>
      <c r="M68" s="88"/>
      <c r="N68" s="89"/>
      <c r="O68" s="89"/>
      <c r="P68" s="89"/>
      <c r="Q68" s="153" t="str">
        <f>IFERROR(VLOOKUP(D68,TabPesquisa[],2),"")</f>
        <v>Limite de horas Semanais = 10</v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 t="s">
        <v>791</v>
      </c>
      <c r="E70" s="182"/>
      <c r="F70" s="73">
        <v>6</v>
      </c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IFERROR(VLOOKUP(Ricardo!$D70,Tabela11[],2),0)</f>
        <v>0</v>
      </c>
      <c r="R70" s="54">
        <f>IFERROR(VLOOKUP(Ricardo!$D70,Tabela11[],3),0)</f>
        <v>6</v>
      </c>
    </row>
    <row r="71" spans="1:23" ht="15" customHeight="1" x14ac:dyDescent="0.25">
      <c r="A71" s="180"/>
      <c r="B71" s="181"/>
      <c r="C71" s="182"/>
      <c r="D71" s="180" t="s">
        <v>791</v>
      </c>
      <c r="E71" s="182"/>
      <c r="F71" s="73">
        <v>6</v>
      </c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IFERROR(VLOOKUP(Ricardo!$D71,Tabela11[],2),0)</f>
        <v>0</v>
      </c>
      <c r="R71" s="54">
        <f>IFERROR(VLOOKUP(Ricardo!$D71,Tabela11[],3),0)</f>
        <v>6</v>
      </c>
    </row>
    <row r="72" spans="1:23" x14ac:dyDescent="0.25">
      <c r="A72" s="180"/>
      <c r="B72" s="181"/>
      <c r="C72" s="182"/>
      <c r="D72" s="180" t="s">
        <v>791</v>
      </c>
      <c r="E72" s="182"/>
      <c r="F72" s="73">
        <v>6</v>
      </c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IFERROR(VLOOKUP(Ricardo!$D72,Tabela11[],2),0)</f>
        <v>0</v>
      </c>
      <c r="R72" s="54">
        <f>IFERROR(VLOOKUP(Ricardo!$D72,Tabela11[],3),0)</f>
        <v>6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IFERROR(VLOOKUP(Ricardo!$D73,Tabela11[],2),0)</f>
        <v>0</v>
      </c>
      <c r="R73" s="54">
        <f>IFERROR(VLOOKUP(Ricardo!$D73,Tabela11[],3),0)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IFERROR(VLOOKUP(Ricardo!$D74,Tabela11[],2),0)</f>
        <v>0</v>
      </c>
      <c r="R74" s="54">
        <f>IFERROR(VLOOKUP(Ricardo!$D74,Tabela11[],3),0)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IFERROR(VLOOKUP(Ricardo!$D75,Tabela11[],2),0)</f>
        <v>0</v>
      </c>
      <c r="R75" s="54">
        <f>IFERROR(VLOOKUP(Ricardo!$D75,Tabela11[],3),0)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IFERROR(VLOOKUP(Ricardo!$D76,Tabela11[],2),0)</f>
        <v>0</v>
      </c>
      <c r="R76" s="54">
        <f>IFERROR(VLOOKUP(Ricardo!$D76,Tabela11[],3),0)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IFERROR(VLOOKUP(Ricardo!$D77,Tabela11[],2),0)</f>
        <v>0</v>
      </c>
      <c r="R77" s="54">
        <f>IFERROR(VLOOKUP(Ricardo!$D77,Tabela11[],3),0)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IFERROR(VLOOKUP(Ricardo!$D78,Tabela11[],2),0)</f>
        <v>0</v>
      </c>
      <c r="R78" s="54">
        <f>IFERROR(VLOOKUP(Ricardo!$D78,Tabela11[],3),0)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IFERROR(VLOOKUP(Ricardo!$D79,Tabela11[],2),0)</f>
        <v>0</v>
      </c>
      <c r="R79" s="54">
        <f>IFERROR(VLOOKUP(Ricardo!$D79,Tabela11[],3),0)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IFERROR(VLOOKUP(Ricardo!$D80,Tabela11[],2),0)</f>
        <v>0</v>
      </c>
      <c r="R80" s="114">
        <f>IFERROR(VLOOKUP(Ricardo!$D80,Tabela11[],3),0)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18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IFERROR(VLOOKUP(Ricardo!$D85,Tabela21[],2,0),0)</f>
        <v>0</v>
      </c>
      <c r="P85" s="54">
        <f>IFERROR(VLOOKUP(Ricardo!$D85,Tabela21[],3,0),0)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IFERROR(VLOOKUP(Ricardo!$D86,Tabela21[],2,0),0)</f>
        <v>0</v>
      </c>
      <c r="P86" s="54">
        <f>IFERROR(VLOOKUP(Ricardo!$D86,Tabela21[],3,0),0)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IFERROR(VLOOKUP(Ricardo!$D87,Tabela21[],2,0),0)</f>
        <v>0</v>
      </c>
      <c r="P87" s="54">
        <f>IFERROR(VLOOKUP(Ricardo!$D87,Tabela21[],3,0),0)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IFERROR(VLOOKUP(Ricardo!$D88,Tabela21[],2,0),0)</f>
        <v>0</v>
      </c>
      <c r="P88" s="54">
        <f>IFERROR(VLOOKUP(Ricardo!$D88,Tabela21[],3,0),0)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IFERROR(VLOOKUP(Ricardo!$D89,Tabela21[],2,0),0)</f>
        <v>0</v>
      </c>
      <c r="P89" s="54">
        <f>IFERROR(VLOOKUP(Ricardo!$D89,Tabela21[],3,0),0)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IFERROR(VLOOKUP(Ricardo!$D90,Tabela21[],2,0),0)</f>
        <v>0</v>
      </c>
      <c r="P90" s="54">
        <f>IFERROR(VLOOKUP(Ricardo!$D90,Tabela21[],3,0),0)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IFERROR(VLOOKUP(Ricardo!$D91,Tabela21[],2,0),0)</f>
        <v>0</v>
      </c>
      <c r="P91" s="54">
        <f>IFERROR(VLOOKUP(Ricardo!$D91,Tabela21[],3,0),0)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IFERROR(VLOOKUP(Ricardo!$D92,Tabela21[],2,0),0)</f>
        <v>0</v>
      </c>
      <c r="P92" s="54">
        <f>IFERROR(VLOOKUP(Ricardo!$D92,Tabela21[],3,0),0)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IFERROR(VLOOKUP(Ricardo!$D93,Tabela21[],2,0),0)</f>
        <v>0</v>
      </c>
      <c r="P93" s="54">
        <f>IFERROR(VLOOKUP(Ricardo!$D93,Tabela21[],3,0),0)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IFERROR(VLOOKUP(Ricardo!$D94,Tabela21[],2,0),0)</f>
        <v>0</v>
      </c>
      <c r="P94" s="54">
        <f>IFERROR(VLOOKUP(Ricardo!$D94,Tabela21[],3,0),0)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IFERROR(VLOOKUP(Ricardo!$D95,Tabela21[],2,0),0)</f>
        <v>0</v>
      </c>
      <c r="P95" s="54">
        <f>IFERROR(VLOOKUP(Ricardo!$D95,Tabela21[],3,0),0)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IFERROR(VLOOKUP(Ricardo!$D96,Tabela21[],2,0),0)</f>
        <v>0</v>
      </c>
      <c r="P96" s="54">
        <f>IFERROR(VLOOKUP(Ricardo!$D96,Tabela21[],3,0),0)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IFERROR(VLOOKUP(Ricardo!$D97,Tabela21[],2,0),0)</f>
        <v>0</v>
      </c>
      <c r="P97" s="136">
        <f>IFERROR(VLOOKUP(Ricardo!$D97,Tabela21[],3,0),0)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 t="s">
        <v>804</v>
      </c>
      <c r="B101" s="181"/>
      <c r="C101" s="182"/>
      <c r="D101" s="180"/>
      <c r="E101" s="182"/>
      <c r="F101" s="73">
        <v>5</v>
      </c>
      <c r="G101" s="180"/>
      <c r="H101" s="182"/>
      <c r="I101" s="218"/>
      <c r="J101" s="219"/>
      <c r="K101" s="75"/>
      <c r="L101" s="2">
        <f>IFERROR(VLOOKUP(Ricardo!$A101,TFunçõesAdm[],3,0),40)</f>
        <v>35</v>
      </c>
      <c r="M101" s="3"/>
      <c r="N101" s="95"/>
      <c r="O101" s="95"/>
      <c r="P101" s="95"/>
      <c r="Q101" s="52">
        <v>0</v>
      </c>
      <c r="R101" s="54">
        <f>IFERROR(VLOOKUP(A101,TFunçõesAdm[],2,FALSE),0)</f>
        <v>5</v>
      </c>
    </row>
    <row r="102" spans="1:22" x14ac:dyDescent="0.25">
      <c r="A102" s="180" t="s">
        <v>809</v>
      </c>
      <c r="B102" s="181"/>
      <c r="C102" s="182"/>
      <c r="D102" s="180"/>
      <c r="E102" s="182"/>
      <c r="F102" s="73">
        <v>1</v>
      </c>
      <c r="G102" s="180"/>
      <c r="H102" s="182"/>
      <c r="I102" s="218"/>
      <c r="J102" s="219"/>
      <c r="K102" s="75"/>
      <c r="L102" s="2">
        <f>IFERROR(VLOOKUP(Ricardo!$A102,TFunçõesAdm[],3,0),40)</f>
        <v>38</v>
      </c>
      <c r="M102" s="3"/>
      <c r="N102" s="95"/>
      <c r="O102" s="95"/>
      <c r="P102" s="95"/>
      <c r="Q102" s="52">
        <v>0</v>
      </c>
      <c r="R102" s="54">
        <f>IFERROR(VLOOKUP(A102,TFunçõesAdm[],2,FALSE),0)</f>
        <v>2</v>
      </c>
    </row>
    <row r="103" spans="1:22" ht="24" customHeight="1" x14ac:dyDescent="0.25">
      <c r="A103" s="180" t="s">
        <v>807</v>
      </c>
      <c r="B103" s="181"/>
      <c r="C103" s="182"/>
      <c r="D103" s="180"/>
      <c r="E103" s="182"/>
      <c r="F103" s="73">
        <v>1</v>
      </c>
      <c r="G103" s="180"/>
      <c r="H103" s="182"/>
      <c r="I103" s="218"/>
      <c r="J103" s="219"/>
      <c r="K103" s="75"/>
      <c r="L103" s="2">
        <f>IFERROR(VLOOKUP(Ricardo!$A103,TFunçõesAdm[],3,0),40)</f>
        <v>35</v>
      </c>
      <c r="M103" s="3"/>
      <c r="N103" s="95"/>
      <c r="O103" s="95"/>
      <c r="P103" s="95"/>
      <c r="Q103" s="52">
        <v>0</v>
      </c>
      <c r="R103" s="54">
        <f>IFERROR(VLOOKUP(A103,TFunçõesAdm[],2,FALSE),0)</f>
        <v>5</v>
      </c>
    </row>
    <row r="104" spans="1:22" x14ac:dyDescent="0.25">
      <c r="A104" s="180" t="s">
        <v>807</v>
      </c>
      <c r="B104" s="181"/>
      <c r="C104" s="182"/>
      <c r="D104" s="180"/>
      <c r="E104" s="182"/>
      <c r="F104" s="73">
        <v>1</v>
      </c>
      <c r="G104" s="180"/>
      <c r="H104" s="182"/>
      <c r="I104" s="218"/>
      <c r="J104" s="219"/>
      <c r="K104" s="75"/>
      <c r="L104" s="2">
        <f>IFERROR(VLOOKUP(Ricardo!$A104,TFunçõesAdm[],3,0),40)</f>
        <v>35</v>
      </c>
      <c r="M104" s="3"/>
      <c r="N104" s="95"/>
      <c r="O104" s="95"/>
      <c r="P104" s="95"/>
      <c r="Q104" s="52">
        <v>0</v>
      </c>
      <c r="R104" s="54">
        <f>IFERROR(VLOOKUP(A104,TFunçõesAdm[],2,FALSE),0)</f>
        <v>5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IFERROR(VLOOKUP(Ricardo!$A105,TFunçõesAdm[],3,0),40)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IFERROR(VLOOKUP(Ricardo!$A106,TFunçõesAdm[],3,0),40)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IFERROR(VLOOKUP(Ricardo!$A107,TFunçõesAdm[],3,0),40)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IFERROR(VLOOKUP(Ricardo!$A108,TFunçõesAdm[],3,0),40)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IFERROR(VLOOKUP(Ricardo!$A109,TFunçõesAdm[],3,0),40)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IFERROR(VLOOKUP(Ricardo!$A110,TFunçõesAdm[],3,0),40)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IFERROR(VLOOKUP(Ricardo!$A111,TFunçõesAdm[],3,0),40)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IFERROR(VLOOKUP(Ricardo!$A112,TFunçõesAdm[],3,0),40)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8</v>
      </c>
      <c r="G113" s="124"/>
      <c r="H113" s="89"/>
      <c r="I113" s="124"/>
      <c r="J113" s="124"/>
      <c r="K113" s="89"/>
      <c r="L113" s="104">
        <f>MIN(Ricardo!$L$101:$L$112)</f>
        <v>35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SUM(Ricardo!$F$123:$F$124)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9</v>
      </c>
      <c r="B134" s="143">
        <f>K32</f>
        <v>9</v>
      </c>
      <c r="C134" s="143">
        <f>K50</f>
        <v>15</v>
      </c>
      <c r="D134" s="143">
        <f>F65</f>
        <v>0</v>
      </c>
      <c r="E134" s="143">
        <f>F81</f>
        <v>18</v>
      </c>
      <c r="F134" s="143">
        <f>F97</f>
        <v>0</v>
      </c>
      <c r="G134" s="143">
        <f>F113</f>
        <v>8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59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Efetivo</v>
      </c>
      <c r="B148" s="26" t="str">
        <f>A5</f>
        <v>Ricardo Trezzi Casa</v>
      </c>
      <c r="C148" s="26" t="str">
        <f>D8</f>
        <v>Doutor(a)</v>
      </c>
      <c r="D148" s="70" t="str">
        <f>H8</f>
        <v>Dedicação Integral</v>
      </c>
      <c r="E148" s="70" t="str">
        <f>I8</f>
        <v>40 h</v>
      </c>
      <c r="F148" s="71">
        <f>SUM(H12:I21)</f>
        <v>5</v>
      </c>
      <c r="G148" s="71">
        <f>SUM(H23:I31)</f>
        <v>4</v>
      </c>
      <c r="H148" s="71">
        <f>B134</f>
        <v>9</v>
      </c>
      <c r="I148" s="71">
        <f>C134</f>
        <v>15</v>
      </c>
      <c r="J148" s="71">
        <f>E134</f>
        <v>18</v>
      </c>
      <c r="K148" s="71">
        <f>F134</f>
        <v>0</v>
      </c>
      <c r="Q148" s="71">
        <v>0</v>
      </c>
      <c r="R148" s="71">
        <f>D134</f>
        <v>0</v>
      </c>
      <c r="S148" s="71">
        <f>G134</f>
        <v>8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59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conditionalFormatting sqref="A134">
    <cfRule type="expression" dxfId="288" priority="26">
      <formula>se+$A$134&lt;$L$35</formula>
    </cfRule>
    <cfRule type="cellIs" dxfId="287" priority="25" operator="lessThan">
      <formula>M35</formula>
    </cfRule>
  </conditionalFormatting>
  <conditionalFormatting sqref="B134">
    <cfRule type="expression" dxfId="286" priority="35">
      <formula>P32=1</formula>
    </cfRule>
  </conditionalFormatting>
  <conditionalFormatting sqref="E134">
    <cfRule type="expression" dxfId="285" priority="20">
      <formula>($E$134&gt;$L$68)</formula>
    </cfRule>
  </conditionalFormatting>
  <conditionalFormatting sqref="F54:F64">
    <cfRule type="cellIs" dxfId="284" priority="18" operator="greaterThan">
      <formula>R54</formula>
    </cfRule>
  </conditionalFormatting>
  <conditionalFormatting sqref="F101:F112">
    <cfRule type="cellIs" dxfId="283" priority="3" operator="notBetween">
      <formula>Q101</formula>
      <formula>R101</formula>
    </cfRule>
  </conditionalFormatting>
  <conditionalFormatting sqref="F70:G80">
    <cfRule type="cellIs" dxfId="282" priority="2" operator="notBetween">
      <formula>Q70</formula>
      <formula>R70</formula>
    </cfRule>
  </conditionalFormatting>
  <conditionalFormatting sqref="J12:J21">
    <cfRule type="expression" dxfId="281" priority="9">
      <formula>P12=1</formula>
    </cfRule>
  </conditionalFormatting>
  <conditionalFormatting sqref="J23:J31">
    <cfRule type="expression" dxfId="280" priority="1">
      <formula>P23=1</formula>
    </cfRule>
  </conditionalFormatting>
  <conditionalFormatting sqref="K37:K49">
    <cfRule type="expression" dxfId="279" priority="27">
      <formula>(K37&gt;R37)</formula>
    </cfRule>
  </conditionalFormatting>
  <conditionalFormatting sqref="K134">
    <cfRule type="cellIs" dxfId="278" priority="33" operator="notEqual">
      <formula>40</formula>
    </cfRule>
  </conditionalFormatting>
  <conditionalFormatting sqref="O85:P91">
    <cfRule type="expression" dxfId="277" priority="47">
      <formula>T82=1</formula>
    </cfRule>
  </conditionalFormatting>
  <conditionalFormatting sqref="O92:P92">
    <cfRule type="expression" dxfId="276" priority="54">
      <formula>T84=1</formula>
    </cfRule>
  </conditionalFormatting>
  <conditionalFormatting sqref="O93:P93">
    <cfRule type="expression" dxfId="275" priority="49">
      <formula>T84=1</formula>
    </cfRule>
  </conditionalFormatting>
  <conditionalFormatting sqref="O94:P94">
    <cfRule type="expression" dxfId="274" priority="48">
      <formula>T84=1</formula>
    </cfRule>
  </conditionalFormatting>
  <conditionalFormatting sqref="O95:P95">
    <cfRule type="expression" dxfId="273" priority="38">
      <formula>T84=1</formula>
    </cfRule>
  </conditionalFormatting>
  <conditionalFormatting sqref="O96:P96">
    <cfRule type="expression" dxfId="272" priority="21">
      <formula>T83=1</formula>
    </cfRule>
  </conditionalFormatting>
  <conditionalFormatting sqref="Q78:Q79">
    <cfRule type="expression" dxfId="271" priority="51">
      <formula>T68=1</formula>
    </cfRule>
  </conditionalFormatting>
  <conditionalFormatting sqref="Q80">
    <cfRule type="expression" dxfId="270" priority="43">
      <formula>S69=1</formula>
    </cfRule>
  </conditionalFormatting>
  <conditionalFormatting sqref="Q81">
    <cfRule type="expression" dxfId="269" priority="42">
      <formula>S69=1</formula>
    </cfRule>
  </conditionalFormatting>
  <conditionalFormatting sqref="Q37:R44">
    <cfRule type="expression" dxfId="268" priority="30">
      <formula>T34=1</formula>
    </cfRule>
  </conditionalFormatting>
  <conditionalFormatting sqref="Q45:R45">
    <cfRule type="expression" dxfId="267" priority="44">
      <formula>T37=1</formula>
    </cfRule>
  </conditionalFormatting>
  <conditionalFormatting sqref="Q46:R46">
    <cfRule type="expression" dxfId="266" priority="22">
      <formula>T37=1</formula>
    </cfRule>
  </conditionalFormatting>
  <conditionalFormatting sqref="Q47:R49">
    <cfRule type="expression" dxfId="265" priority="28">
      <formula>T37=1</formula>
    </cfRule>
  </conditionalFormatting>
  <conditionalFormatting sqref="Q54:R57">
    <cfRule type="expression" dxfId="264" priority="31">
      <formula>T51=1</formula>
    </cfRule>
  </conditionalFormatting>
  <conditionalFormatting sqref="Q58:R63">
    <cfRule type="expression" dxfId="263" priority="23">
      <formula>T52=1</formula>
    </cfRule>
  </conditionalFormatting>
  <conditionalFormatting sqref="Q64:R64">
    <cfRule type="expression" dxfId="262" priority="50">
      <formula>T53=1</formula>
    </cfRule>
  </conditionalFormatting>
  <conditionalFormatting sqref="Q70:R76">
    <cfRule type="expression" dxfId="261" priority="36">
      <formula>T66=1</formula>
    </cfRule>
  </conditionalFormatting>
  <conditionalFormatting sqref="Q77:R77">
    <cfRule type="expression" dxfId="260" priority="29">
      <formula>T68=1</formula>
    </cfRule>
  </conditionalFormatting>
  <conditionalFormatting sqref="Q101:R106 Q107:Q112 R109">
    <cfRule type="expression" dxfId="259" priority="39">
      <formula>T99=1</formula>
    </cfRule>
  </conditionalFormatting>
  <conditionalFormatting sqref="Q113:R113">
    <cfRule type="expression" dxfId="258" priority="34">
      <formula>#REF!=1</formula>
    </cfRule>
  </conditionalFormatting>
  <conditionalFormatting sqref="R78:R79">
    <cfRule type="expression" dxfId="257" priority="46">
      <formula>U67=1</formula>
    </cfRule>
  </conditionalFormatting>
  <conditionalFormatting sqref="R80">
    <cfRule type="expression" dxfId="256" priority="52">
      <formula>U67=1</formula>
    </cfRule>
  </conditionalFormatting>
  <conditionalFormatting sqref="R81">
    <cfRule type="expression" dxfId="255" priority="53">
      <formula>U69=1</formula>
    </cfRule>
  </conditionalFormatting>
  <conditionalFormatting sqref="R107:R108">
    <cfRule type="expression" dxfId="254" priority="55">
      <formula>U101=1</formula>
    </cfRule>
  </conditionalFormatting>
  <conditionalFormatting sqref="R110:R112">
    <cfRule type="expression" dxfId="253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E7A62400-B5CA-4EED-8589-AAC0C05753AB}">
          <x14:formula1>
            <xm:f>Dados!$A$38:$A$39</xm:f>
          </x14:formula1>
          <xm:sqref>H35</xm:sqref>
        </x14:dataValidation>
        <x14:dataValidation type="list" allowBlank="1" showInputMessage="1" showErrorMessage="1" xr:uid="{7D7C4767-15EE-4B04-9D83-73005C578830}">
          <x14:formula1>
            <xm:f>Dados!$A$85:$A$90</xm:f>
          </x14:formula1>
          <xm:sqref>A37:A49</xm:sqref>
        </x14:dataValidation>
        <x14:dataValidation type="list" allowBlank="1" showInputMessage="1" showErrorMessage="1" xr:uid="{2AF06DB3-8801-4AD2-B2C9-865C2D40154B}">
          <x14:formula1>
            <xm:f>Dados!$A$95:$A$99</xm:f>
          </x14:formula1>
          <xm:sqref>D68</xm:sqref>
        </x14:dataValidation>
        <x14:dataValidation type="list" allowBlank="1" showInputMessage="1" showErrorMessage="1" xr:uid="{3BC61DF6-0978-4BBE-8FC1-94E6001B4F80}">
          <x14:formula1>
            <xm:f>Dados!$A$44:$A$78</xm:f>
          </x14:formula1>
          <xm:sqref>A101:A112</xm:sqref>
        </x14:dataValidation>
        <x14:dataValidation type="list" allowBlank="1" showInputMessage="1" showErrorMessage="1" xr:uid="{52AAD76D-D3C0-42A7-BD51-775AD1D145F5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DEA56335-76AF-47E3-96BF-E92D65A5985C}">
          <x14:formula1>
            <xm:f>Dados!$A$108:$A$109</xm:f>
          </x14:formula1>
          <xm:sqref>D54:D64</xm:sqref>
        </x14:dataValidation>
        <x14:dataValidation type="list" allowBlank="1" showInputMessage="1" showErrorMessage="1" xr:uid="{FCCCD361-E6D7-4803-A9D1-7CA6CF4077EE}">
          <x14:formula1>
            <xm:f>Profs!$A:$A</xm:f>
          </x14:formula1>
          <xm:sqref>A5</xm:sqref>
        </x14:dataValidation>
        <x14:dataValidation type="list" allowBlank="1" showInputMessage="1" showErrorMessage="1" xr:uid="{2E3C6338-D01D-4624-824B-A57F16ABB5CB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1C40E6D8-0A9A-45D8-A1F5-8F8D49963F03}">
          <x14:formula1>
            <xm:f>'Grade Pós'!$A:$A</xm:f>
          </x14:formula1>
          <xm:sqref>A23:A31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150B2-7C18-483D-B093-637C504092E2}">
  <sheetPr>
    <pageSetUpPr fitToPage="1"/>
  </sheetPr>
  <dimension ref="A1:W148"/>
  <sheetViews>
    <sheetView showGridLines="0" topLeftCell="A109" zoomScale="95" zoomScaleNormal="95" workbookViewId="0">
      <selection activeCell="A5" sqref="A5:C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 t="s">
        <v>1346</v>
      </c>
      <c r="B5" s="178"/>
      <c r="C5" s="178"/>
      <c r="D5" s="177"/>
      <c r="E5" s="177"/>
      <c r="F5" s="177"/>
      <c r="G5" s="177"/>
      <c r="H5" s="171" t="str">
        <f>VLOOKUP(A5,TProfessores[],2,0)</f>
        <v>Agronomia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str">
        <f>VLOOKUP(A5,TProfessores[],3,0)</f>
        <v>Substituto</v>
      </c>
      <c r="B8" s="172"/>
      <c r="C8" s="172"/>
      <c r="D8" s="171" t="str">
        <f>VLOOKUP(A5,TProfessores[],5,0)</f>
        <v>Doutor(a)</v>
      </c>
      <c r="E8" s="172"/>
      <c r="F8" s="172"/>
      <c r="G8" s="173"/>
      <c r="H8" s="86" t="str">
        <f>VLOOKUP(A5,TProfessores[],7,0)</f>
        <v>Horista</v>
      </c>
      <c r="I8" s="160" t="str">
        <f>VLOOKUP(A5,TProfessores[],6,0)</f>
        <v>10h/Ativ</v>
      </c>
      <c r="J8" s="171" t="str">
        <f>VLOOKUP(A5,TProfessores[],8,0)</f>
        <v>ADJUNTO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 t="s">
        <v>671</v>
      </c>
      <c r="B12" s="181"/>
      <c r="C12" s="182"/>
      <c r="D12" s="183" t="str">
        <f>IFERROR(VLOOKUP(A12,TGradeCurricular[],2,0),"")</f>
        <v>Agronomia</v>
      </c>
      <c r="E12" s="184"/>
      <c r="F12" s="183" t="str">
        <f>IFERROR(VLOOKUP(A12,TGradeCurricular[],3,0),"")</f>
        <v>2ª</v>
      </c>
      <c r="G12" s="184"/>
      <c r="H12" s="73">
        <v>2</v>
      </c>
      <c r="I12" s="73">
        <v>3</v>
      </c>
      <c r="J12" s="180"/>
      <c r="K12" s="181"/>
      <c r="L12" s="2">
        <f t="shared" ref="L12:L21" si="0">SUM(H12:I12)</f>
        <v>5</v>
      </c>
      <c r="M12" s="3">
        <f t="shared" ref="M12:M21" si="1">IF(A12&lt;&gt;0,1,0)</f>
        <v>1</v>
      </c>
      <c r="N12" s="3">
        <f t="shared" ref="N12:N21" si="2">IF(J12&lt;Q12,1,0)</f>
        <v>1</v>
      </c>
      <c r="O12" s="3">
        <f t="shared" ref="O12:O21" si="3">IF(J12&gt;R12,1,0)</f>
        <v>0</v>
      </c>
      <c r="P12" s="3">
        <f>SUM(N12:O12)</f>
        <v>1</v>
      </c>
      <c r="Q12" s="52">
        <f t="shared" ref="Q12:Q21" si="4">L12*0.5</f>
        <v>2.5</v>
      </c>
      <c r="R12" s="54">
        <f t="shared" ref="R12:R21" si="5">IFERROR(_xlfn.IFS($M$32=1,L12,$M$32=2,L12,$M$32=3,(L12*1.3),$M$32&gt;3,(L12*1.5)),0)</f>
        <v>5</v>
      </c>
    </row>
    <row r="13" spans="1:22" ht="15" customHeight="1" x14ac:dyDescent="0.25">
      <c r="A13" s="180" t="s">
        <v>672</v>
      </c>
      <c r="B13" s="181"/>
      <c r="C13" s="182"/>
      <c r="D13" s="183" t="str">
        <f>IFERROR(VLOOKUP(A13,TGradeCurricular[],2,0),"")</f>
        <v>Medicina Veterinária</v>
      </c>
      <c r="E13" s="184"/>
      <c r="F13" s="183" t="str">
        <f>IFERROR(VLOOKUP(A13,TGradeCurricular[],3,0),"")</f>
        <v>1ª</v>
      </c>
      <c r="G13" s="184"/>
      <c r="H13" s="73">
        <v>2</v>
      </c>
      <c r="I13" s="73">
        <v>3</v>
      </c>
      <c r="J13" s="185"/>
      <c r="K13" s="180"/>
      <c r="L13" s="2">
        <f t="shared" si="0"/>
        <v>5</v>
      </c>
      <c r="M13" s="3">
        <f t="shared" si="1"/>
        <v>1</v>
      </c>
      <c r="N13" s="3">
        <f t="shared" si="2"/>
        <v>1</v>
      </c>
      <c r="O13" s="3">
        <f t="shared" si="3"/>
        <v>0</v>
      </c>
      <c r="P13" s="3">
        <f t="shared" ref="P13:P21" si="6">SUM(N13:O13)</f>
        <v>1</v>
      </c>
      <c r="Q13" s="52">
        <f t="shared" si="4"/>
        <v>2.5</v>
      </c>
      <c r="R13" s="54">
        <f t="shared" si="5"/>
        <v>5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IFERROR(VLOOKUP(Rita!$A23,'Grade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IFERROR(VLOOKUP(Rita!$A24,'Grade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IFERROR(VLOOKUP(Rita!$A25,'Grade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IFERROR(VLOOKUP(Rita!$A26,'Grade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IFERROR(VLOOKUP(Rita!$A27,'Grade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IFERROR(VLOOKUP(Rita!$A28,'Grade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IFERROR(VLOOKUP(Rita!$A29,'Grade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IFERROR(VLOOKUP(Rita!$A30,'Grade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IFERROR(VLOOKUP(Rita!$A31,'Grade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10</v>
      </c>
      <c r="M32" s="5">
        <f>SUM(M12:M31)</f>
        <v>2</v>
      </c>
      <c r="N32" s="96">
        <f>IF(K32&lt;Q32,1,0)</f>
        <v>1</v>
      </c>
      <c r="O32" s="96">
        <f>IF(K32&gt;R32,1,0)</f>
        <v>0</v>
      </c>
      <c r="P32" s="96">
        <f>SUM(N32:O32)</f>
        <v>1</v>
      </c>
      <c r="Q32" s="100">
        <f>L32*0.5</f>
        <v>5</v>
      </c>
      <c r="R32" s="101">
        <f t="shared" si="9"/>
        <v>10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IFERROR(VLOOKUP(Rita!$D54,Tabela20[],2,0),0)</f>
        <v>0</v>
      </c>
      <c r="R54" s="54">
        <f>IFERROR(VLOOKUP(Rita!$D54,Tabela20[],3,0),0)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IFERROR(VLOOKUP(Rita!$D55,Tabela20[],2,0),0)</f>
        <v>0</v>
      </c>
      <c r="R55" s="54">
        <f>IFERROR(VLOOKUP(Rita!$D55,Tabela20[],3,0),0)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IFERROR(VLOOKUP(Rita!$D56,Tabela20[],2,0),0)</f>
        <v>0</v>
      </c>
      <c r="R56" s="54">
        <f>IFERROR(VLOOKUP(Rita!$D56,Tabela20[],3,0),0)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IFERROR(VLOOKUP(Rita!$D57,Tabela20[],2,0),0)</f>
        <v>0</v>
      </c>
      <c r="R57" s="54">
        <f>IFERROR(VLOOKUP(Rita!$D57,Tabela20[],3,0),0)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IFERROR(VLOOKUP(Rita!$D58,Tabela20[],2,0),0)</f>
        <v>0</v>
      </c>
      <c r="R58" s="54">
        <f>IFERROR(VLOOKUP(Rita!$D58,Tabela20[],3,0),0)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IFERROR(VLOOKUP(Rita!$D59,Tabela20[],2,0),0)</f>
        <v>0</v>
      </c>
      <c r="R59" s="54">
        <f>IFERROR(VLOOKUP(Rita!$D59,Tabela20[],3,0),0)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IFERROR(VLOOKUP(Rita!$D60,Tabela20[],2,0),0)</f>
        <v>0</v>
      </c>
      <c r="R60" s="54">
        <f>IFERROR(VLOOKUP(Rita!$D60,Tabela20[],3,0),0)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IFERROR(VLOOKUP(Rita!$D61,Tabela20[],2,0),0)</f>
        <v>0</v>
      </c>
      <c r="R61" s="54">
        <f>IFERROR(VLOOKUP(Rita!$D61,Tabela20[],3,0),0)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IFERROR(VLOOKUP(Rita!$D62,Tabela20[],2,0),0)</f>
        <v>0</v>
      </c>
      <c r="R62" s="54">
        <f>IFERROR(VLOOKUP(Rita!$D62,Tabela20[],3,0),0)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IFERROR(VLOOKUP(Rita!$D63,Tabela20[],2,0),0)</f>
        <v>0</v>
      </c>
      <c r="R63" s="54">
        <f>IFERROR(VLOOKUP(Rita!$D63,Tabela20[],3,0),0)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IFERROR(VLOOKUP(Rita!$D64,Tabela20[],2,0),0)</f>
        <v>0</v>
      </c>
      <c r="R64" s="114">
        <f>IFERROR(VLOOKUP(Rita!$D64,Tabela20[],3,0),0)</f>
        <v>0</v>
      </c>
    </row>
    <row r="65" spans="1:23" s="89" customFormat="1" hidden="1" x14ac:dyDescent="0.25">
      <c r="A65" s="89" t="s">
        <v>756</v>
      </c>
      <c r="F65" s="124">
        <f>SUM(Rita!$F$54:$F$64)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IFERROR(VLOOKUP(Rita!$D70,Tabela11[],2),0)</f>
        <v>0</v>
      </c>
      <c r="R70" s="54">
        <f>IFERROR(VLOOKUP(Rita!$D70,Tabela11[],3),0)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IFERROR(VLOOKUP(Rita!$D71,Tabela11[],2),0)</f>
        <v>0</v>
      </c>
      <c r="R71" s="54">
        <f>IFERROR(VLOOKUP(Rita!$D71,Tabela11[],3),0)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IFERROR(VLOOKUP(Rita!$D72,Tabela11[],2),0)</f>
        <v>0</v>
      </c>
      <c r="R72" s="54">
        <f>IFERROR(VLOOKUP(Rita!$D72,Tabela11[],3),0)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IFERROR(VLOOKUP(Rita!$D73,Tabela11[],2),0)</f>
        <v>0</v>
      </c>
      <c r="R73" s="54">
        <f>IFERROR(VLOOKUP(Rita!$D73,Tabela11[],3),0)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IFERROR(VLOOKUP(Rita!$D74,Tabela11[],2),0)</f>
        <v>0</v>
      </c>
      <c r="R74" s="54">
        <f>IFERROR(VLOOKUP(Rita!$D74,Tabela11[],3),0)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IFERROR(VLOOKUP(Rita!$D75,Tabela11[],2),0)</f>
        <v>0</v>
      </c>
      <c r="R75" s="54">
        <f>IFERROR(VLOOKUP(Rita!$D75,Tabela11[],3),0)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IFERROR(VLOOKUP(Rita!$D76,Tabela11[],2),0)</f>
        <v>0</v>
      </c>
      <c r="R76" s="54">
        <f>IFERROR(VLOOKUP(Rita!$D76,Tabela11[],3),0)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IFERROR(VLOOKUP(Rita!$D77,Tabela11[],2),0)</f>
        <v>0</v>
      </c>
      <c r="R77" s="54">
        <f>IFERROR(VLOOKUP(Rita!$D77,Tabela11[],3),0)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IFERROR(VLOOKUP(Rita!$D78,Tabela11[],2),0)</f>
        <v>0</v>
      </c>
      <c r="R78" s="54">
        <f>IFERROR(VLOOKUP(Rita!$D78,Tabela11[],3),0)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IFERROR(VLOOKUP(Rita!$D79,Tabela11[],2),0)</f>
        <v>0</v>
      </c>
      <c r="R79" s="54">
        <f>IFERROR(VLOOKUP(Rita!$D79,Tabela11[],3),0)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IFERROR(VLOOKUP(Rita!$D80,Tabela11[],2),0)</f>
        <v>0</v>
      </c>
      <c r="R80" s="114">
        <f>IFERROR(VLOOKUP(Rita!$D80,Tabela11[],3),0)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IFERROR(VLOOKUP(Rita!$D85,Tabela21[],2,0),0)</f>
        <v>0</v>
      </c>
      <c r="P85" s="54">
        <f>IFERROR(VLOOKUP(Rita!$D85,Tabela21[],3,0),0)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IFERROR(VLOOKUP(Rita!$D86,Tabela21[],2,0),0)</f>
        <v>0</v>
      </c>
      <c r="P86" s="54">
        <f>IFERROR(VLOOKUP(Rita!$D86,Tabela21[],3,0),0)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IFERROR(VLOOKUP(Rita!$D87,Tabela21[],2,0),0)</f>
        <v>0</v>
      </c>
      <c r="P87" s="54">
        <f>IFERROR(VLOOKUP(Rita!$D87,Tabela21[],3,0),0)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IFERROR(VLOOKUP(Rita!$D88,Tabela21[],2,0),0)</f>
        <v>0</v>
      </c>
      <c r="P88" s="54">
        <f>IFERROR(VLOOKUP(Rita!$D88,Tabela21[],3,0),0)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IFERROR(VLOOKUP(Rita!$D89,Tabela21[],2,0),0)</f>
        <v>0</v>
      </c>
      <c r="P89" s="54">
        <f>IFERROR(VLOOKUP(Rita!$D89,Tabela21[],3,0),0)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IFERROR(VLOOKUP(Rita!$D90,Tabela21[],2,0),0)</f>
        <v>0</v>
      </c>
      <c r="P90" s="54">
        <f>IFERROR(VLOOKUP(Rita!$D90,Tabela21[],3,0),0)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IFERROR(VLOOKUP(Rita!$D91,Tabela21[],2,0),0)</f>
        <v>0</v>
      </c>
      <c r="P91" s="54">
        <f>IFERROR(VLOOKUP(Rita!$D91,Tabela21[],3,0),0)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IFERROR(VLOOKUP(Rita!$D92,Tabela21[],2,0),0)</f>
        <v>0</v>
      </c>
      <c r="P92" s="54">
        <f>IFERROR(VLOOKUP(Rita!$D92,Tabela21[],3,0),0)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IFERROR(VLOOKUP(Rita!$D93,Tabela21[],2,0),0)</f>
        <v>0</v>
      </c>
      <c r="P93" s="54">
        <f>IFERROR(VLOOKUP(Rita!$D93,Tabela21[],3,0),0)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IFERROR(VLOOKUP(Rita!$D94,Tabela21[],2,0),0)</f>
        <v>0</v>
      </c>
      <c r="P94" s="54">
        <f>IFERROR(VLOOKUP(Rita!$D94,Tabela21[],3,0),0)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IFERROR(VLOOKUP(Rita!$D95,Tabela21[],2,0),0)</f>
        <v>0</v>
      </c>
      <c r="P95" s="54">
        <f>IFERROR(VLOOKUP(Rita!$D95,Tabela21[],3,0),0)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IFERROR(VLOOKUP(Rita!$D96,Tabela21[],2,0),0)</f>
        <v>0</v>
      </c>
      <c r="P96" s="54">
        <f>IFERROR(VLOOKUP(Rita!$D96,Tabela21[],3,0),0)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IFERROR(VLOOKUP(Rita!$D97,Tabela21[],2,0),0)</f>
        <v>0</v>
      </c>
      <c r="P97" s="136">
        <f>IFERROR(VLOOKUP(Rita!$D97,Tabela21[],3,0),0)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IFERROR(VLOOKUP(Rita!$A101,TFunçõesAdm[],3,0),40)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IFERROR(VLOOKUP(Rita!$A102,TFunçõesAdm[],3,0),40)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IFERROR(VLOOKUP(Rita!$A103,TFunçõesAdm[],3,0),40)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IFERROR(VLOOKUP(Rita!$A104,TFunçõesAdm[],3,0),40)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IFERROR(VLOOKUP(Rita!$A105,TFunçõesAdm[],3,0),40)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IFERROR(VLOOKUP(Rita!$A106,TFunçõesAdm[],3,0),40)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IFERROR(VLOOKUP(Rita!$A107,TFunçõesAdm[],3,0),40)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IFERROR(VLOOKUP(Rita!$A108,TFunçõesAdm[],3,0),40)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IFERROR(VLOOKUP(Rita!$A109,TFunçõesAdm[],3,0),40)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IFERROR(VLOOKUP(Rita!$A110,TFunçõesAdm[],3,0),40)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IFERROR(VLOOKUP(Rita!$A111,TFunçõesAdm[],3,0),40)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IFERROR(VLOOKUP(Rita!$A112,TFunçõesAdm[],3,0),40)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MIN(Rita!$L$101:$L$112)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SUM(Rita!$F$123:$F$124)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/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10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10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str">
        <f>VLOOKUP(H5,TChefeDpto[],2,0)</f>
        <v>Cláudio Roberto Franco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str">
        <f>A8</f>
        <v>Substituto</v>
      </c>
      <c r="B148" s="26" t="str">
        <f>A5</f>
        <v>Rita Carolina De Melo</v>
      </c>
      <c r="C148" s="26" t="str">
        <f>D8</f>
        <v>Doutor(a)</v>
      </c>
      <c r="D148" s="70" t="str">
        <f>H8</f>
        <v>Horista</v>
      </c>
      <c r="E148" s="70" t="str">
        <f>I8</f>
        <v>10h/Ativ</v>
      </c>
      <c r="F148" s="71">
        <f>SUM(H12:I21)</f>
        <v>10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10</v>
      </c>
    </row>
  </sheetData>
  <sheetProtection formatCells="0" formatColumns="0" formatRows="0"/>
  <mergeCells count="336"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</mergeCells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2796B31-C5EC-4574-A80D-7DE7A003D41D}">
          <x14:formula1>
            <xm:f>'Grade Pós'!$A:$A</xm:f>
          </x14:formula1>
          <xm:sqref>A23:A31</xm:sqref>
        </x14:dataValidation>
        <x14:dataValidation type="list" allowBlank="1" showInputMessage="1" showErrorMessage="1" xr:uid="{976DEEE1-4C2D-4141-9858-0A0921692BDE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BD936AC5-82BE-40E2-A2EF-842464447F33}">
          <x14:formula1>
            <xm:f>Profs!$A:$A</xm:f>
          </x14:formula1>
          <xm:sqref>A5</xm:sqref>
        </x14:dataValidation>
        <x14:dataValidation type="list" allowBlank="1" showInputMessage="1" showErrorMessage="1" xr:uid="{27038AE6-808D-4659-9E58-31A3075B2CAF}">
          <x14:formula1>
            <xm:f>Dados!$A$108:$A$109</xm:f>
          </x14:formula1>
          <xm:sqref>D54:D64</xm:sqref>
        </x14:dataValidation>
        <x14:dataValidation type="list" allowBlank="1" showInputMessage="1" showErrorMessage="1" xr:uid="{C31EA9C7-2777-40C8-8958-49B836499993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B0D393ED-D593-47FA-9A80-54E1DB3E5065}">
          <x14:formula1>
            <xm:f>Dados!$A$44:$A$78</xm:f>
          </x14:formula1>
          <xm:sqref>A101:A112</xm:sqref>
        </x14:dataValidation>
        <x14:dataValidation type="list" allowBlank="1" showInputMessage="1" showErrorMessage="1" xr:uid="{E74AFDE0-8B14-4F1C-BBA9-1A84B0A5423E}">
          <x14:formula1>
            <xm:f>Dados!$A$95:$A$99</xm:f>
          </x14:formula1>
          <xm:sqref>D68</xm:sqref>
        </x14:dataValidation>
        <x14:dataValidation type="list" allowBlank="1" showInputMessage="1" showErrorMessage="1" xr:uid="{8F2834CE-E96C-48AA-BD3D-5AD7DB9DD6BD}">
          <x14:formula1>
            <xm:f>Dados!$A$85:$A$90</xm:f>
          </x14:formula1>
          <xm:sqref>A37:A49</xm:sqref>
        </x14:dataValidation>
        <x14:dataValidation type="list" allowBlank="1" showInputMessage="1" showErrorMessage="1" xr:uid="{00BCB34A-EF0B-46F6-BEB5-E52CD27334D6}">
          <x14:formula1>
            <xm:f>Dados!$A$38:$A$39</xm:f>
          </x14:formula1>
          <xm:sqref>H35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1559-4355-4F24-9F75-7E6267613AF1}">
  <sheetPr>
    <pageSetUpPr fitToPage="1"/>
  </sheetPr>
  <dimension ref="A1:W148"/>
  <sheetViews>
    <sheetView showGridLines="0" zoomScale="95" zoomScaleNormal="95" workbookViewId="0">
      <selection activeCell="J12" sqref="J12:K12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/>
      <c r="B5" s="178"/>
      <c r="C5" s="178"/>
      <c r="D5" s="177"/>
      <c r="E5" s="177"/>
      <c r="F5" s="177"/>
      <c r="G5" s="177"/>
      <c r="H5" s="171" t="e">
        <f>VLOOKUP(A5,TProfessores[],2,0)</f>
        <v>#N/A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e">
        <f>VLOOKUP(A5,TProfessores[],3,0)</f>
        <v>#N/A</v>
      </c>
      <c r="B8" s="172"/>
      <c r="C8" s="172"/>
      <c r="D8" s="171" t="e">
        <f>VLOOKUP(A5,TProfessores[],5,0)</f>
        <v>#N/A</v>
      </c>
      <c r="E8" s="172"/>
      <c r="F8" s="172"/>
      <c r="G8" s="173"/>
      <c r="H8" s="86" t="e">
        <f>VLOOKUP(A5,TProfessores[],7,0)</f>
        <v>#N/A</v>
      </c>
      <c r="I8" s="160" t="e">
        <f>VLOOKUP(A5,TProfessores[],6,0)</f>
        <v>#N/A</v>
      </c>
      <c r="J8" s="171" t="e">
        <f>VLOOKUP(A5,TProfessores[],8,0)</f>
        <v>#N/A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/>
      <c r="B12" s="181"/>
      <c r="C12" s="182"/>
      <c r="D12" s="183" t="str">
        <f>IFERROR(VLOOKUP(A12,TGradeCurricular[],2,0),"")</f>
        <v/>
      </c>
      <c r="E12" s="184"/>
      <c r="F12" s="183" t="str">
        <f>IFERROR(VLOOKUP(A12,TGradeCurricular[],3,0),"")</f>
        <v/>
      </c>
      <c r="G12" s="184"/>
      <c r="H12" s="73"/>
      <c r="I12" s="73"/>
      <c r="J12" s="180"/>
      <c r="K12" s="181"/>
      <c r="L12" s="2">
        <f t="shared" ref="L12:L21" si="0">SUM(H12:I12)</f>
        <v>0</v>
      </c>
      <c r="M12" s="3">
        <f t="shared" ref="M12:M21" si="1">IF(A12&lt;&gt;0,1,0)</f>
        <v>0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</v>
      </c>
      <c r="R12" s="54">
        <f t="shared" ref="R12:R21" si="5">IFERROR(_xlfn.IFS($M$32=1,L12,$M$32=2,L12,$M$32=3,(L12*1.3),$M$32&gt;3,(L12*1.5)),0)</f>
        <v>0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>
        <v>0</v>
      </c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IFERROR(VLOOKUP('Ef1'!$A23,'Grade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IFERROR(VLOOKUP('Ef1'!$A24,'Grade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IFERROR(VLOOKUP('Ef1'!$A25,'Grade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IFERROR(VLOOKUP('Ef1'!$A26,'Grade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IFERROR(VLOOKUP('Ef1'!$A27,'Grade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IFERROR(VLOOKUP('Ef1'!$A28,'Grade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IFERROR(VLOOKUP('Ef1'!$A29,'Grade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IFERROR(VLOOKUP('Ef1'!$A30,'Grade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IFERROR(VLOOKUP('Ef1'!$A31,'Grade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0</v>
      </c>
      <c r="M32" s="5">
        <f>SUM(M12:M31)</f>
        <v>0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0</v>
      </c>
      <c r="R32" s="101">
        <f t="shared" si="9"/>
        <v>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IFERROR(VLOOKUP('Ef1'!$D54,Tabela20[],2,0),0)</f>
        <v>0</v>
      </c>
      <c r="R54" s="54">
        <f>IFERROR(VLOOKUP('Ef1'!$D54,Tabela20[],3,0),0)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IFERROR(VLOOKUP('Ef1'!$D55,Tabela20[],2,0),0)</f>
        <v>0</v>
      </c>
      <c r="R55" s="54">
        <f>IFERROR(VLOOKUP('Ef1'!$D55,Tabela20[],3,0),0)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IFERROR(VLOOKUP('Ef1'!$D56,Tabela20[],2,0),0)</f>
        <v>0</v>
      </c>
      <c r="R56" s="54">
        <f>IFERROR(VLOOKUP('Ef1'!$D56,Tabela20[],3,0),0)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IFERROR(VLOOKUP('Ef1'!$D57,Tabela20[],2,0),0)</f>
        <v>0</v>
      </c>
      <c r="R57" s="54">
        <f>IFERROR(VLOOKUP('Ef1'!$D57,Tabela20[],3,0),0)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IFERROR(VLOOKUP('Ef1'!$D58,Tabela20[],2,0),0)</f>
        <v>0</v>
      </c>
      <c r="R58" s="54">
        <f>IFERROR(VLOOKUP('Ef1'!$D58,Tabela20[],3,0),0)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IFERROR(VLOOKUP('Ef1'!$D59,Tabela20[],2,0),0)</f>
        <v>0</v>
      </c>
      <c r="R59" s="54">
        <f>IFERROR(VLOOKUP('Ef1'!$D59,Tabela20[],3,0),0)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IFERROR(VLOOKUP('Ef1'!$D60,Tabela20[],2,0),0)</f>
        <v>0</v>
      </c>
      <c r="R60" s="54">
        <f>IFERROR(VLOOKUP('Ef1'!$D60,Tabela20[],3,0),0)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IFERROR(VLOOKUP('Ef1'!$D61,Tabela20[],2,0),0)</f>
        <v>0</v>
      </c>
      <c r="R61" s="54">
        <f>IFERROR(VLOOKUP('Ef1'!$D61,Tabela20[],3,0),0)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IFERROR(VLOOKUP('Ef1'!$D62,Tabela20[],2,0),0)</f>
        <v>0</v>
      </c>
      <c r="R62" s="54">
        <f>IFERROR(VLOOKUP('Ef1'!$D62,Tabela20[],3,0),0)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IFERROR(VLOOKUP('Ef1'!$D63,Tabela20[],2,0),0)</f>
        <v>0</v>
      </c>
      <c r="R63" s="54">
        <f>IFERROR(VLOOKUP('Ef1'!$D63,Tabela20[],3,0),0)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IFERROR(VLOOKUP('Ef1'!$D64,Tabela20[],2,0),0)</f>
        <v>0</v>
      </c>
      <c r="R64" s="114">
        <f>IFERROR(VLOOKUP('Ef1'!$D64,Tabela20[],3,0),0)</f>
        <v>0</v>
      </c>
    </row>
    <row r="65" spans="1:23" s="89" customFormat="1" hidden="1" x14ac:dyDescent="0.25">
      <c r="A65" s="89" t="s">
        <v>756</v>
      </c>
      <c r="F65" s="124">
        <f>SUM('Ef1'!$F$54:$F$64)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IFERROR(VLOOKUP('Ef1'!$D70,Tabela11[],2),0)</f>
        <v>0</v>
      </c>
      <c r="R70" s="54">
        <f>IFERROR(VLOOKUP('Ef1'!$D70,Tabela11[],3),0)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IFERROR(VLOOKUP('Ef1'!$D71,Tabela11[],2),0)</f>
        <v>0</v>
      </c>
      <c r="R71" s="54">
        <f>IFERROR(VLOOKUP('Ef1'!$D71,Tabela11[],3),0)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IFERROR(VLOOKUP('Ef1'!$D72,Tabela11[],2),0)</f>
        <v>0</v>
      </c>
      <c r="R72" s="54">
        <f>IFERROR(VLOOKUP('Ef1'!$D72,Tabela11[],3),0)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IFERROR(VLOOKUP('Ef1'!$D73,Tabela11[],2),0)</f>
        <v>0</v>
      </c>
      <c r="R73" s="54">
        <f>IFERROR(VLOOKUP('Ef1'!$D73,Tabela11[],3),0)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IFERROR(VLOOKUP('Ef1'!$D74,Tabela11[],2),0)</f>
        <v>0</v>
      </c>
      <c r="R74" s="54">
        <f>IFERROR(VLOOKUP('Ef1'!$D74,Tabela11[],3),0)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IFERROR(VLOOKUP('Ef1'!$D75,Tabela11[],2),0)</f>
        <v>0</v>
      </c>
      <c r="R75" s="54">
        <f>IFERROR(VLOOKUP('Ef1'!$D75,Tabela11[],3),0)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IFERROR(VLOOKUP('Ef1'!$D76,Tabela11[],2),0)</f>
        <v>0</v>
      </c>
      <c r="R76" s="54">
        <f>IFERROR(VLOOKUP('Ef1'!$D76,Tabela11[],3),0)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IFERROR(VLOOKUP('Ef1'!$D77,Tabela11[],2),0)</f>
        <v>0</v>
      </c>
      <c r="R77" s="54">
        <f>IFERROR(VLOOKUP('Ef1'!$D77,Tabela11[],3),0)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IFERROR(VLOOKUP('Ef1'!$D78,Tabela11[],2),0)</f>
        <v>0</v>
      </c>
      <c r="R78" s="54">
        <f>IFERROR(VLOOKUP('Ef1'!$D78,Tabela11[],3),0)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IFERROR(VLOOKUP('Ef1'!$D79,Tabela11[],2),0)</f>
        <v>0</v>
      </c>
      <c r="R79" s="54">
        <f>IFERROR(VLOOKUP('Ef1'!$D79,Tabela11[],3),0)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IFERROR(VLOOKUP('Ef1'!$D80,Tabela11[],2),0)</f>
        <v>0</v>
      </c>
      <c r="R80" s="114">
        <f>IFERROR(VLOOKUP('Ef1'!$D80,Tabela11[],3),0)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IFERROR(VLOOKUP('Ef1'!$D85,Tabela21[],2,0),0)</f>
        <v>0</v>
      </c>
      <c r="P85" s="54">
        <f>IFERROR(VLOOKUP('Ef1'!$D85,Tabela21[],3,0),0)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IFERROR(VLOOKUP('Ef1'!$D86,Tabela21[],2,0),0)</f>
        <v>0</v>
      </c>
      <c r="P86" s="54">
        <f>IFERROR(VLOOKUP('Ef1'!$D86,Tabela21[],3,0),0)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IFERROR(VLOOKUP('Ef1'!$D87,Tabela21[],2,0),0)</f>
        <v>0</v>
      </c>
      <c r="P87" s="54">
        <f>IFERROR(VLOOKUP('Ef1'!$D87,Tabela21[],3,0),0)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IFERROR(VLOOKUP('Ef1'!$D88,Tabela21[],2,0),0)</f>
        <v>0</v>
      </c>
      <c r="P88" s="54">
        <f>IFERROR(VLOOKUP('Ef1'!$D88,Tabela21[],3,0),0)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IFERROR(VLOOKUP('Ef1'!$D89,Tabela21[],2,0),0)</f>
        <v>0</v>
      </c>
      <c r="P89" s="54">
        <f>IFERROR(VLOOKUP('Ef1'!$D89,Tabela21[],3,0),0)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IFERROR(VLOOKUP('Ef1'!$D90,Tabela21[],2,0),0)</f>
        <v>0</v>
      </c>
      <c r="P90" s="54">
        <f>IFERROR(VLOOKUP('Ef1'!$D90,Tabela21[],3,0),0)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IFERROR(VLOOKUP('Ef1'!$D91,Tabela21[],2,0),0)</f>
        <v>0</v>
      </c>
      <c r="P91" s="54">
        <f>IFERROR(VLOOKUP('Ef1'!$D91,Tabela21[],3,0),0)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IFERROR(VLOOKUP('Ef1'!$D92,Tabela21[],2,0),0)</f>
        <v>0</v>
      </c>
      <c r="P92" s="54">
        <f>IFERROR(VLOOKUP('Ef1'!$D92,Tabela21[],3,0),0)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IFERROR(VLOOKUP('Ef1'!$D93,Tabela21[],2,0),0)</f>
        <v>0</v>
      </c>
      <c r="P93" s="54">
        <f>IFERROR(VLOOKUP('Ef1'!$D93,Tabela21[],3,0),0)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IFERROR(VLOOKUP('Ef1'!$D94,Tabela21[],2,0),0)</f>
        <v>0</v>
      </c>
      <c r="P94" s="54">
        <f>IFERROR(VLOOKUP('Ef1'!$D94,Tabela21[],3,0),0)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IFERROR(VLOOKUP('Ef1'!$D95,Tabela21[],2,0),0)</f>
        <v>0</v>
      </c>
      <c r="P95" s="54">
        <f>IFERROR(VLOOKUP('Ef1'!$D95,Tabela21[],3,0),0)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IFERROR(VLOOKUP('Ef1'!$D96,Tabela21[],2,0),0)</f>
        <v>0</v>
      </c>
      <c r="P96" s="54">
        <f>IFERROR(VLOOKUP('Ef1'!$D96,Tabela21[],3,0),0)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IFERROR(VLOOKUP('Ef1'!$D97,Tabela21[],2,0),0)</f>
        <v>0</v>
      </c>
      <c r="P97" s="136">
        <f>IFERROR(VLOOKUP('Ef1'!$D97,Tabela21[],3,0),0)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IFERROR(VLOOKUP('Ef1'!$A101,TFunçõesAdm[],3,0),40)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IFERROR(VLOOKUP('Ef1'!$A102,TFunçõesAdm[],3,0),40)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IFERROR(VLOOKUP('Ef1'!$A103,TFunçõesAdm[],3,0),40)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IFERROR(VLOOKUP('Ef1'!$A104,TFunçõesAdm[],3,0),40)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IFERROR(VLOOKUP('Ef1'!$A105,TFunçõesAdm[],3,0),40)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IFERROR(VLOOKUP('Ef1'!$A106,TFunçõesAdm[],3,0),40)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IFERROR(VLOOKUP('Ef1'!$A107,TFunçõesAdm[],3,0),40)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IFERROR(VLOOKUP('Ef1'!$A108,TFunçõesAdm[],3,0),40)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IFERROR(VLOOKUP('Ef1'!$A109,TFunçõesAdm[],3,0),40)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IFERROR(VLOOKUP('Ef1'!$A110,TFunçõesAdm[],3,0),40)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IFERROR(VLOOKUP('Ef1'!$A111,TFunçõesAdm[],3,0),40)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IFERROR(VLOOKUP('Ef1'!$A112,TFunçõesAdm[],3,0),40)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MIN('Ef1'!$L$101:$L$112)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SUM('Ef1'!$F$123:$F$124)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e">
        <f>VLOOKUP(H5,TChefeDpto[],2,0)</f>
        <v>#N/A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e">
        <f>A8</f>
        <v>#N/A</v>
      </c>
      <c r="B148" s="26">
        <f>A5</f>
        <v>0</v>
      </c>
      <c r="C148" s="26" t="e">
        <f>D8</f>
        <v>#N/A</v>
      </c>
      <c r="D148" s="70" t="e">
        <f>H8</f>
        <v>#N/A</v>
      </c>
      <c r="E148" s="70" t="e">
        <f>I8</f>
        <v>#N/A</v>
      </c>
      <c r="F148" s="71">
        <f>SUM(H12:I21)</f>
        <v>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0</v>
      </c>
    </row>
  </sheetData>
  <sheetProtection sheet="1"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252" priority="26">
      <formula>se+$A$134&lt;$L$35</formula>
    </cfRule>
    <cfRule type="cellIs" dxfId="251" priority="25" operator="lessThan">
      <formula>M35</formula>
    </cfRule>
  </conditionalFormatting>
  <conditionalFormatting sqref="B134">
    <cfRule type="expression" dxfId="250" priority="35">
      <formula>P32=1</formula>
    </cfRule>
  </conditionalFormatting>
  <conditionalFormatting sqref="E134">
    <cfRule type="expression" dxfId="249" priority="20">
      <formula>($E$134&gt;$L$68)</formula>
    </cfRule>
  </conditionalFormatting>
  <conditionalFormatting sqref="F54:F64">
    <cfRule type="cellIs" dxfId="248" priority="18" operator="greaterThan">
      <formula>R54</formula>
    </cfRule>
  </conditionalFormatting>
  <conditionalFormatting sqref="F101:F112">
    <cfRule type="cellIs" dxfId="247" priority="3" operator="notBetween">
      <formula>Q101</formula>
      <formula>R101</formula>
    </cfRule>
  </conditionalFormatting>
  <conditionalFormatting sqref="F70:G80">
    <cfRule type="cellIs" dxfId="246" priority="2" operator="notBetween">
      <formula>Q70</formula>
      <formula>R70</formula>
    </cfRule>
  </conditionalFormatting>
  <conditionalFormatting sqref="J12:J21">
    <cfRule type="expression" dxfId="245" priority="9">
      <formula>P12=1</formula>
    </cfRule>
  </conditionalFormatting>
  <conditionalFormatting sqref="J23:J31">
    <cfRule type="expression" dxfId="244" priority="1">
      <formula>P23=1</formula>
    </cfRule>
  </conditionalFormatting>
  <conditionalFormatting sqref="K37:K49">
    <cfRule type="expression" dxfId="243" priority="27">
      <formula>(K37&gt;R37)</formula>
    </cfRule>
  </conditionalFormatting>
  <conditionalFormatting sqref="K134">
    <cfRule type="cellIs" dxfId="242" priority="33" operator="notEqual">
      <formula>40</formula>
    </cfRule>
  </conditionalFormatting>
  <conditionalFormatting sqref="O85:P91">
    <cfRule type="expression" dxfId="241" priority="47">
      <formula>T82=1</formula>
    </cfRule>
  </conditionalFormatting>
  <conditionalFormatting sqref="O92:P92">
    <cfRule type="expression" dxfId="240" priority="54">
      <formula>T84=1</formula>
    </cfRule>
  </conditionalFormatting>
  <conditionalFormatting sqref="O93:P93">
    <cfRule type="expression" dxfId="239" priority="49">
      <formula>T84=1</formula>
    </cfRule>
  </conditionalFormatting>
  <conditionalFormatting sqref="O94:P94">
    <cfRule type="expression" dxfId="238" priority="48">
      <formula>T84=1</formula>
    </cfRule>
  </conditionalFormatting>
  <conditionalFormatting sqref="O95:P95">
    <cfRule type="expression" dxfId="237" priority="38">
      <formula>T84=1</formula>
    </cfRule>
  </conditionalFormatting>
  <conditionalFormatting sqref="O96:P96">
    <cfRule type="expression" dxfId="236" priority="21">
      <formula>T83=1</formula>
    </cfRule>
  </conditionalFormatting>
  <conditionalFormatting sqref="Q78:Q79">
    <cfRule type="expression" dxfId="235" priority="51">
      <formula>T68=1</formula>
    </cfRule>
  </conditionalFormatting>
  <conditionalFormatting sqref="Q80">
    <cfRule type="expression" dxfId="234" priority="43">
      <formula>S69=1</formula>
    </cfRule>
  </conditionalFormatting>
  <conditionalFormatting sqref="Q81">
    <cfRule type="expression" dxfId="233" priority="42">
      <formula>S69=1</formula>
    </cfRule>
  </conditionalFormatting>
  <conditionalFormatting sqref="Q37:R44">
    <cfRule type="expression" dxfId="232" priority="30">
      <formula>T34=1</formula>
    </cfRule>
  </conditionalFormatting>
  <conditionalFormatting sqref="Q45:R45">
    <cfRule type="expression" dxfId="231" priority="44">
      <formula>T37=1</formula>
    </cfRule>
  </conditionalFormatting>
  <conditionalFormatting sqref="Q46:R46">
    <cfRule type="expression" dxfId="230" priority="22">
      <formula>T37=1</formula>
    </cfRule>
  </conditionalFormatting>
  <conditionalFormatting sqref="Q47:R49">
    <cfRule type="expression" dxfId="229" priority="28">
      <formula>T37=1</formula>
    </cfRule>
  </conditionalFormatting>
  <conditionalFormatting sqref="Q54:R57">
    <cfRule type="expression" dxfId="228" priority="31">
      <formula>T51=1</formula>
    </cfRule>
  </conditionalFormatting>
  <conditionalFormatting sqref="Q58:R63">
    <cfRule type="expression" dxfId="227" priority="23">
      <formula>T52=1</formula>
    </cfRule>
  </conditionalFormatting>
  <conditionalFormatting sqref="Q64:R64">
    <cfRule type="expression" dxfId="226" priority="50">
      <formula>T53=1</formula>
    </cfRule>
  </conditionalFormatting>
  <conditionalFormatting sqref="Q70:R76">
    <cfRule type="expression" dxfId="225" priority="36">
      <formula>T66=1</formula>
    </cfRule>
  </conditionalFormatting>
  <conditionalFormatting sqref="Q77:R77">
    <cfRule type="expression" dxfId="224" priority="29">
      <formula>T68=1</formula>
    </cfRule>
  </conditionalFormatting>
  <conditionalFormatting sqref="Q101:R106 Q107:Q112 R109">
    <cfRule type="expression" dxfId="223" priority="39">
      <formula>T99=1</formula>
    </cfRule>
  </conditionalFormatting>
  <conditionalFormatting sqref="Q113:R113">
    <cfRule type="expression" dxfId="222" priority="34">
      <formula>#REF!=1</formula>
    </cfRule>
  </conditionalFormatting>
  <conditionalFormatting sqref="R78:R79">
    <cfRule type="expression" dxfId="221" priority="46">
      <formula>U67=1</formula>
    </cfRule>
  </conditionalFormatting>
  <conditionalFormatting sqref="R80">
    <cfRule type="expression" dxfId="220" priority="52">
      <formula>U67=1</formula>
    </cfRule>
  </conditionalFormatting>
  <conditionalFormatting sqref="R81">
    <cfRule type="expression" dxfId="219" priority="53">
      <formula>U69=1</formula>
    </cfRule>
  </conditionalFormatting>
  <conditionalFormatting sqref="R107:R108">
    <cfRule type="expression" dxfId="218" priority="55">
      <formula>U101=1</formula>
    </cfRule>
  </conditionalFormatting>
  <conditionalFormatting sqref="R110:R112">
    <cfRule type="expression" dxfId="217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529C14E0-1B79-4F91-81F5-5F8EC33AD2B8}">
          <x14:formula1>
            <xm:f>Dados!$A$38:$A$39</xm:f>
          </x14:formula1>
          <xm:sqref>H35</xm:sqref>
        </x14:dataValidation>
        <x14:dataValidation type="list" allowBlank="1" showInputMessage="1" showErrorMessage="1" xr:uid="{DF1C81A0-61E4-4AAD-8F5B-3AAB884DD0F9}">
          <x14:formula1>
            <xm:f>Dados!$A$85:$A$90</xm:f>
          </x14:formula1>
          <xm:sqref>A37:A49</xm:sqref>
        </x14:dataValidation>
        <x14:dataValidation type="list" allowBlank="1" showInputMessage="1" showErrorMessage="1" xr:uid="{143F285A-4CE5-4062-B6EB-353BAF746022}">
          <x14:formula1>
            <xm:f>Dados!$A$95:$A$99</xm:f>
          </x14:formula1>
          <xm:sqref>D68</xm:sqref>
        </x14:dataValidation>
        <x14:dataValidation type="list" allowBlank="1" showInputMessage="1" showErrorMessage="1" xr:uid="{9F603B09-EA50-447A-BB06-4D4B964C5D40}">
          <x14:formula1>
            <xm:f>Dados!$A$44:$A$78</xm:f>
          </x14:formula1>
          <xm:sqref>A101:A112</xm:sqref>
        </x14:dataValidation>
        <x14:dataValidation type="list" allowBlank="1" showInputMessage="1" showErrorMessage="1" xr:uid="{4F5C52C1-CFC7-4201-A57F-001C972C0938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C37785EA-491C-4DA8-948F-E1E04EE01FE4}">
          <x14:formula1>
            <xm:f>Dados!$A$108:$A$109</xm:f>
          </x14:formula1>
          <xm:sqref>D54:D64</xm:sqref>
        </x14:dataValidation>
        <x14:dataValidation type="list" allowBlank="1" showInputMessage="1" showErrorMessage="1" xr:uid="{B7484691-4D7D-44F1-A845-208324D933B6}">
          <x14:formula1>
            <xm:f>Profs!$A:$A</xm:f>
          </x14:formula1>
          <xm:sqref>A5</xm:sqref>
        </x14:dataValidation>
        <x14:dataValidation type="list" allowBlank="1" showInputMessage="1" showErrorMessage="1" xr:uid="{FBB0A297-5B4B-4D00-8B21-B391CCEEAB6F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DAB06999-AF07-42BA-A3D6-D8D1620E1049}">
          <x14:formula1>
            <xm:f>'Grade Pós'!$A:$A</xm:f>
          </x14:formula1>
          <xm:sqref>A23:A31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4DC8-2B52-4BFE-B269-07FD4AB051C6}">
  <sheetPr>
    <pageSetUpPr fitToPage="1"/>
  </sheetPr>
  <dimension ref="A1:W148"/>
  <sheetViews>
    <sheetView showGridLines="0" zoomScale="95" zoomScaleNormal="95" workbookViewId="0">
      <selection activeCell="A5" sqref="A5:C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/>
      <c r="B5" s="178"/>
      <c r="C5" s="178"/>
      <c r="D5" s="177"/>
      <c r="E5" s="177"/>
      <c r="F5" s="177"/>
      <c r="G5" s="177"/>
      <c r="H5" s="171" t="e">
        <f>VLOOKUP(A5,TProfessores[],2,0)</f>
        <v>#N/A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e">
        <f>VLOOKUP(A5,TProfessores[],3,0)</f>
        <v>#N/A</v>
      </c>
      <c r="B8" s="172"/>
      <c r="C8" s="172"/>
      <c r="D8" s="171" t="e">
        <f>VLOOKUP(A5,TProfessores[],5,0)</f>
        <v>#N/A</v>
      </c>
      <c r="E8" s="172"/>
      <c r="F8" s="172"/>
      <c r="G8" s="173"/>
      <c r="H8" s="86" t="e">
        <f>VLOOKUP(A5,TProfessores[],7,0)</f>
        <v>#N/A</v>
      </c>
      <c r="I8" s="160" t="e">
        <f>VLOOKUP(A5,TProfessores[],6,0)</f>
        <v>#N/A</v>
      </c>
      <c r="J8" s="171" t="e">
        <f>VLOOKUP(A5,TProfessores[],8,0)</f>
        <v>#N/A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/>
      <c r="B12" s="181"/>
      <c r="C12" s="182"/>
      <c r="D12" s="183" t="str">
        <f>IFERROR(VLOOKUP(A12,TGradeCurricular[],2,0),"")</f>
        <v/>
      </c>
      <c r="E12" s="184"/>
      <c r="F12" s="183" t="str">
        <f>IFERROR(VLOOKUP(A12,TGradeCurricular[],3,0),"")</f>
        <v/>
      </c>
      <c r="G12" s="184"/>
      <c r="H12" s="73"/>
      <c r="I12" s="73"/>
      <c r="J12" s="180"/>
      <c r="K12" s="181"/>
      <c r="L12" s="2">
        <f t="shared" ref="L12:L21" si="0">SUM(H12:I12)</f>
        <v>0</v>
      </c>
      <c r="M12" s="3">
        <f t="shared" ref="M12:M21" si="1">IF(A12&lt;&gt;0,1,0)</f>
        <v>0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</v>
      </c>
      <c r="R12" s="54">
        <f t="shared" ref="R12:R21" si="5">IFERROR(_xlfn.IFS($M$32=1,L12,$M$32=2,L12,$M$32=3,(L12*1.3),$M$32&gt;3,(L12*1.5)),0)</f>
        <v>0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>
        <v>0</v>
      </c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IFERROR(VLOOKUP('Ef2'!$A23,'Grade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IFERROR(VLOOKUP('Ef2'!$A24,'Grade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IFERROR(VLOOKUP('Ef2'!$A25,'Grade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IFERROR(VLOOKUP('Ef2'!$A26,'Grade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IFERROR(VLOOKUP('Ef2'!$A27,'Grade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IFERROR(VLOOKUP('Ef2'!$A28,'Grade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IFERROR(VLOOKUP('Ef2'!$A29,'Grade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IFERROR(VLOOKUP('Ef2'!$A30,'Grade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IFERROR(VLOOKUP('Ef2'!$A31,'Grade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0</v>
      </c>
      <c r="M32" s="5">
        <f>SUM(M12:M31)</f>
        <v>0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0</v>
      </c>
      <c r="R32" s="101">
        <f t="shared" si="9"/>
        <v>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IFERROR(VLOOKUP('Ef2'!$D54,Tabela20[],2,0),0)</f>
        <v>0</v>
      </c>
      <c r="R54" s="54">
        <f>IFERROR(VLOOKUP('Ef2'!$D54,Tabela20[],3,0),0)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IFERROR(VLOOKUP('Ef2'!$D55,Tabela20[],2,0),0)</f>
        <v>0</v>
      </c>
      <c r="R55" s="54">
        <f>IFERROR(VLOOKUP('Ef2'!$D55,Tabela20[],3,0),0)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IFERROR(VLOOKUP('Ef2'!$D56,Tabela20[],2,0),0)</f>
        <v>0</v>
      </c>
      <c r="R56" s="54">
        <f>IFERROR(VLOOKUP('Ef2'!$D56,Tabela20[],3,0),0)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IFERROR(VLOOKUP('Ef2'!$D57,Tabela20[],2,0),0)</f>
        <v>0</v>
      </c>
      <c r="R57" s="54">
        <f>IFERROR(VLOOKUP('Ef2'!$D57,Tabela20[],3,0),0)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IFERROR(VLOOKUP('Ef2'!$D58,Tabela20[],2,0),0)</f>
        <v>0</v>
      </c>
      <c r="R58" s="54">
        <f>IFERROR(VLOOKUP('Ef2'!$D58,Tabela20[],3,0),0)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IFERROR(VLOOKUP('Ef2'!$D59,Tabela20[],2,0),0)</f>
        <v>0</v>
      </c>
      <c r="R59" s="54">
        <f>IFERROR(VLOOKUP('Ef2'!$D59,Tabela20[],3,0),0)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IFERROR(VLOOKUP('Ef2'!$D60,Tabela20[],2,0),0)</f>
        <v>0</v>
      </c>
      <c r="R60" s="54">
        <f>IFERROR(VLOOKUP('Ef2'!$D60,Tabela20[],3,0),0)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IFERROR(VLOOKUP('Ef2'!$D61,Tabela20[],2,0),0)</f>
        <v>0</v>
      </c>
      <c r="R61" s="54">
        <f>IFERROR(VLOOKUP('Ef2'!$D61,Tabela20[],3,0),0)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IFERROR(VLOOKUP('Ef2'!$D62,Tabela20[],2,0),0)</f>
        <v>0</v>
      </c>
      <c r="R62" s="54">
        <f>IFERROR(VLOOKUP('Ef2'!$D62,Tabela20[],3,0),0)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IFERROR(VLOOKUP('Ef2'!$D63,Tabela20[],2,0),0)</f>
        <v>0</v>
      </c>
      <c r="R63" s="54">
        <f>IFERROR(VLOOKUP('Ef2'!$D63,Tabela20[],3,0),0)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IFERROR(VLOOKUP('Ef2'!$D64,Tabela20[],2,0),0)</f>
        <v>0</v>
      </c>
      <c r="R64" s="114">
        <f>IFERROR(VLOOKUP('Ef2'!$D64,Tabela20[],3,0),0)</f>
        <v>0</v>
      </c>
    </row>
    <row r="65" spans="1:23" s="89" customFormat="1" hidden="1" x14ac:dyDescent="0.25">
      <c r="A65" s="89" t="s">
        <v>756</v>
      </c>
      <c r="F65" s="124">
        <f>SUM('Ef2'!$F$54:$F$64)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IFERROR(VLOOKUP('Ef2'!$D70,Tabela11[],2),0)</f>
        <v>0</v>
      </c>
      <c r="R70" s="54">
        <f>IFERROR(VLOOKUP('Ef2'!$D70,Tabela11[],3),0)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IFERROR(VLOOKUP('Ef2'!$D71,Tabela11[],2),0)</f>
        <v>0</v>
      </c>
      <c r="R71" s="54">
        <f>IFERROR(VLOOKUP('Ef2'!$D71,Tabela11[],3),0)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IFERROR(VLOOKUP('Ef2'!$D72,Tabela11[],2),0)</f>
        <v>0</v>
      </c>
      <c r="R72" s="54">
        <f>IFERROR(VLOOKUP('Ef2'!$D72,Tabela11[],3),0)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IFERROR(VLOOKUP('Ef2'!$D73,Tabela11[],2),0)</f>
        <v>0</v>
      </c>
      <c r="R73" s="54">
        <f>IFERROR(VLOOKUP('Ef2'!$D73,Tabela11[],3),0)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IFERROR(VLOOKUP('Ef2'!$D74,Tabela11[],2),0)</f>
        <v>0</v>
      </c>
      <c r="R74" s="54">
        <f>IFERROR(VLOOKUP('Ef2'!$D74,Tabela11[],3),0)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IFERROR(VLOOKUP('Ef2'!$D75,Tabela11[],2),0)</f>
        <v>0</v>
      </c>
      <c r="R75" s="54">
        <f>IFERROR(VLOOKUP('Ef2'!$D75,Tabela11[],3),0)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IFERROR(VLOOKUP('Ef2'!$D76,Tabela11[],2),0)</f>
        <v>0</v>
      </c>
      <c r="R76" s="54">
        <f>IFERROR(VLOOKUP('Ef2'!$D76,Tabela11[],3),0)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IFERROR(VLOOKUP('Ef2'!$D77,Tabela11[],2),0)</f>
        <v>0</v>
      </c>
      <c r="R77" s="54">
        <f>IFERROR(VLOOKUP('Ef2'!$D77,Tabela11[],3),0)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IFERROR(VLOOKUP('Ef2'!$D78,Tabela11[],2),0)</f>
        <v>0</v>
      </c>
      <c r="R78" s="54">
        <f>IFERROR(VLOOKUP('Ef2'!$D78,Tabela11[],3),0)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IFERROR(VLOOKUP('Ef2'!$D79,Tabela11[],2),0)</f>
        <v>0</v>
      </c>
      <c r="R79" s="54">
        <f>IFERROR(VLOOKUP('Ef2'!$D79,Tabela11[],3),0)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IFERROR(VLOOKUP('Ef2'!$D80,Tabela11[],2),0)</f>
        <v>0</v>
      </c>
      <c r="R80" s="114">
        <f>IFERROR(VLOOKUP('Ef2'!$D80,Tabela11[],3),0)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IFERROR(VLOOKUP('Ef2'!$D85,Tabela21[],2,0),0)</f>
        <v>0</v>
      </c>
      <c r="P85" s="54">
        <f>IFERROR(VLOOKUP('Ef2'!$D85,Tabela21[],3,0),0)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IFERROR(VLOOKUP('Ef2'!$D86,Tabela21[],2,0),0)</f>
        <v>0</v>
      </c>
      <c r="P86" s="54">
        <f>IFERROR(VLOOKUP('Ef2'!$D86,Tabela21[],3,0),0)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IFERROR(VLOOKUP('Ef2'!$D87,Tabela21[],2,0),0)</f>
        <v>0</v>
      </c>
      <c r="P87" s="54">
        <f>IFERROR(VLOOKUP('Ef2'!$D87,Tabela21[],3,0),0)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IFERROR(VLOOKUP('Ef2'!$D88,Tabela21[],2,0),0)</f>
        <v>0</v>
      </c>
      <c r="P88" s="54">
        <f>IFERROR(VLOOKUP('Ef2'!$D88,Tabela21[],3,0),0)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IFERROR(VLOOKUP('Ef2'!$D89,Tabela21[],2,0),0)</f>
        <v>0</v>
      </c>
      <c r="P89" s="54">
        <f>IFERROR(VLOOKUP('Ef2'!$D89,Tabela21[],3,0),0)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IFERROR(VLOOKUP('Ef2'!$D90,Tabela21[],2,0),0)</f>
        <v>0</v>
      </c>
      <c r="P90" s="54">
        <f>IFERROR(VLOOKUP('Ef2'!$D90,Tabela21[],3,0),0)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IFERROR(VLOOKUP('Ef2'!$D91,Tabela21[],2,0),0)</f>
        <v>0</v>
      </c>
      <c r="P91" s="54">
        <f>IFERROR(VLOOKUP('Ef2'!$D91,Tabela21[],3,0),0)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IFERROR(VLOOKUP('Ef2'!$D92,Tabela21[],2,0),0)</f>
        <v>0</v>
      </c>
      <c r="P92" s="54">
        <f>IFERROR(VLOOKUP('Ef2'!$D92,Tabela21[],3,0),0)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IFERROR(VLOOKUP('Ef2'!$D93,Tabela21[],2,0),0)</f>
        <v>0</v>
      </c>
      <c r="P93" s="54">
        <f>IFERROR(VLOOKUP('Ef2'!$D93,Tabela21[],3,0),0)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IFERROR(VLOOKUP('Ef2'!$D94,Tabela21[],2,0),0)</f>
        <v>0</v>
      </c>
      <c r="P94" s="54">
        <f>IFERROR(VLOOKUP('Ef2'!$D94,Tabela21[],3,0),0)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IFERROR(VLOOKUP('Ef2'!$D95,Tabela21[],2,0),0)</f>
        <v>0</v>
      </c>
      <c r="P95" s="54">
        <f>IFERROR(VLOOKUP('Ef2'!$D95,Tabela21[],3,0),0)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IFERROR(VLOOKUP('Ef2'!$D96,Tabela21[],2,0),0)</f>
        <v>0</v>
      </c>
      <c r="P96" s="54">
        <f>IFERROR(VLOOKUP('Ef2'!$D96,Tabela21[],3,0),0)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IFERROR(VLOOKUP('Ef2'!$D97,Tabela21[],2,0),0)</f>
        <v>0</v>
      </c>
      <c r="P97" s="136">
        <f>IFERROR(VLOOKUP('Ef2'!$D97,Tabela21[],3,0),0)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IFERROR(VLOOKUP('Ef2'!$A101,TFunçõesAdm[],3,0),40)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IFERROR(VLOOKUP('Ef2'!$A102,TFunçõesAdm[],3,0),40)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IFERROR(VLOOKUP('Ef2'!$A103,TFunçõesAdm[],3,0),40)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IFERROR(VLOOKUP('Ef2'!$A104,TFunçõesAdm[],3,0),40)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IFERROR(VLOOKUP('Ef2'!$A105,TFunçõesAdm[],3,0),40)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IFERROR(VLOOKUP('Ef2'!$A106,TFunçõesAdm[],3,0),40)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IFERROR(VLOOKUP('Ef2'!$A107,TFunçõesAdm[],3,0),40)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IFERROR(VLOOKUP('Ef2'!$A108,TFunçõesAdm[],3,0),40)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IFERROR(VLOOKUP('Ef2'!$A109,TFunçõesAdm[],3,0),40)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IFERROR(VLOOKUP('Ef2'!$A110,TFunçõesAdm[],3,0),40)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IFERROR(VLOOKUP('Ef2'!$A111,TFunçõesAdm[],3,0),40)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IFERROR(VLOOKUP('Ef2'!$A112,TFunçõesAdm[],3,0),40)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MIN('Ef2'!$L$101:$L$112)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SUM('Ef2'!$F$123:$F$124)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e">
        <f>VLOOKUP(H5,TChefeDpto[],2,0)</f>
        <v>#N/A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e">
        <f>A8</f>
        <v>#N/A</v>
      </c>
      <c r="B148" s="26">
        <f>A5</f>
        <v>0</v>
      </c>
      <c r="C148" s="26" t="e">
        <f>D8</f>
        <v>#N/A</v>
      </c>
      <c r="D148" s="70" t="e">
        <f>H8</f>
        <v>#N/A</v>
      </c>
      <c r="E148" s="70" t="e">
        <f>I8</f>
        <v>#N/A</v>
      </c>
      <c r="F148" s="71">
        <f>SUM(H12:I21)</f>
        <v>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0</v>
      </c>
    </row>
  </sheetData>
  <sheetProtection sheet="1"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216" priority="26">
      <formula>se+$A$134&lt;$L$35</formula>
    </cfRule>
    <cfRule type="cellIs" dxfId="215" priority="25" operator="lessThan">
      <formula>M35</formula>
    </cfRule>
  </conditionalFormatting>
  <conditionalFormatting sqref="B134">
    <cfRule type="expression" dxfId="214" priority="35">
      <formula>P32=1</formula>
    </cfRule>
  </conditionalFormatting>
  <conditionalFormatting sqref="E134">
    <cfRule type="expression" dxfId="213" priority="20">
      <formula>($E$134&gt;$L$68)</formula>
    </cfRule>
  </conditionalFormatting>
  <conditionalFormatting sqref="F54:F64">
    <cfRule type="cellIs" dxfId="212" priority="18" operator="greaterThan">
      <formula>R54</formula>
    </cfRule>
  </conditionalFormatting>
  <conditionalFormatting sqref="F101:F112">
    <cfRule type="cellIs" dxfId="211" priority="3" operator="notBetween">
      <formula>Q101</formula>
      <formula>R101</formula>
    </cfRule>
  </conditionalFormatting>
  <conditionalFormatting sqref="F70:G80">
    <cfRule type="cellIs" dxfId="210" priority="2" operator="notBetween">
      <formula>Q70</formula>
      <formula>R70</formula>
    </cfRule>
  </conditionalFormatting>
  <conditionalFormatting sqref="J12:J21">
    <cfRule type="expression" dxfId="209" priority="9">
      <formula>P12=1</formula>
    </cfRule>
  </conditionalFormatting>
  <conditionalFormatting sqref="J23:J31">
    <cfRule type="expression" dxfId="208" priority="1">
      <formula>P23=1</formula>
    </cfRule>
  </conditionalFormatting>
  <conditionalFormatting sqref="K37:K49">
    <cfRule type="expression" dxfId="207" priority="27">
      <formula>(K37&gt;R37)</formula>
    </cfRule>
  </conditionalFormatting>
  <conditionalFormatting sqref="K134">
    <cfRule type="cellIs" dxfId="206" priority="33" operator="notEqual">
      <formula>40</formula>
    </cfRule>
  </conditionalFormatting>
  <conditionalFormatting sqref="O85:P91">
    <cfRule type="expression" dxfId="205" priority="47">
      <formula>T82=1</formula>
    </cfRule>
  </conditionalFormatting>
  <conditionalFormatting sqref="O92:P92">
    <cfRule type="expression" dxfId="204" priority="54">
      <formula>T84=1</formula>
    </cfRule>
  </conditionalFormatting>
  <conditionalFormatting sqref="O93:P93">
    <cfRule type="expression" dxfId="203" priority="49">
      <formula>T84=1</formula>
    </cfRule>
  </conditionalFormatting>
  <conditionalFormatting sqref="O94:P94">
    <cfRule type="expression" dxfId="202" priority="48">
      <formula>T84=1</formula>
    </cfRule>
  </conditionalFormatting>
  <conditionalFormatting sqref="O95:P95">
    <cfRule type="expression" dxfId="201" priority="38">
      <formula>T84=1</formula>
    </cfRule>
  </conditionalFormatting>
  <conditionalFormatting sqref="O96:P96">
    <cfRule type="expression" dxfId="200" priority="21">
      <formula>T83=1</formula>
    </cfRule>
  </conditionalFormatting>
  <conditionalFormatting sqref="Q78:Q79">
    <cfRule type="expression" dxfId="199" priority="51">
      <formula>T68=1</formula>
    </cfRule>
  </conditionalFormatting>
  <conditionalFormatting sqref="Q80">
    <cfRule type="expression" dxfId="198" priority="43">
      <formula>S69=1</formula>
    </cfRule>
  </conditionalFormatting>
  <conditionalFormatting sqref="Q81">
    <cfRule type="expression" dxfId="197" priority="42">
      <formula>S69=1</formula>
    </cfRule>
  </conditionalFormatting>
  <conditionalFormatting sqref="Q37:R44">
    <cfRule type="expression" dxfId="196" priority="30">
      <formula>T34=1</formula>
    </cfRule>
  </conditionalFormatting>
  <conditionalFormatting sqref="Q45:R45">
    <cfRule type="expression" dxfId="195" priority="44">
      <formula>T37=1</formula>
    </cfRule>
  </conditionalFormatting>
  <conditionalFormatting sqref="Q46:R46">
    <cfRule type="expression" dxfId="194" priority="22">
      <formula>T37=1</formula>
    </cfRule>
  </conditionalFormatting>
  <conditionalFormatting sqref="Q47:R49">
    <cfRule type="expression" dxfId="193" priority="28">
      <formula>T37=1</formula>
    </cfRule>
  </conditionalFormatting>
  <conditionalFormatting sqref="Q54:R57">
    <cfRule type="expression" dxfId="192" priority="31">
      <formula>T51=1</formula>
    </cfRule>
  </conditionalFormatting>
  <conditionalFormatting sqref="Q58:R63">
    <cfRule type="expression" dxfId="191" priority="23">
      <formula>T52=1</formula>
    </cfRule>
  </conditionalFormatting>
  <conditionalFormatting sqref="Q64:R64">
    <cfRule type="expression" dxfId="190" priority="50">
      <formula>T53=1</formula>
    </cfRule>
  </conditionalFormatting>
  <conditionalFormatting sqref="Q70:R76">
    <cfRule type="expression" dxfId="189" priority="36">
      <formula>T66=1</formula>
    </cfRule>
  </conditionalFormatting>
  <conditionalFormatting sqref="Q77:R77">
    <cfRule type="expression" dxfId="188" priority="29">
      <formula>T68=1</formula>
    </cfRule>
  </conditionalFormatting>
  <conditionalFormatting sqref="Q101:R106 Q107:Q112 R109">
    <cfRule type="expression" dxfId="187" priority="39">
      <formula>T99=1</formula>
    </cfRule>
  </conditionalFormatting>
  <conditionalFormatting sqref="Q113:R113">
    <cfRule type="expression" dxfId="186" priority="34">
      <formula>#REF!=1</formula>
    </cfRule>
  </conditionalFormatting>
  <conditionalFormatting sqref="R78:R79">
    <cfRule type="expression" dxfId="185" priority="46">
      <formula>U67=1</formula>
    </cfRule>
  </conditionalFormatting>
  <conditionalFormatting sqref="R80">
    <cfRule type="expression" dxfId="184" priority="52">
      <formula>U67=1</formula>
    </cfRule>
  </conditionalFormatting>
  <conditionalFormatting sqref="R81">
    <cfRule type="expression" dxfId="183" priority="53">
      <formula>U69=1</formula>
    </cfRule>
  </conditionalFormatting>
  <conditionalFormatting sqref="R107:R108">
    <cfRule type="expression" dxfId="182" priority="55">
      <formula>U101=1</formula>
    </cfRule>
  </conditionalFormatting>
  <conditionalFormatting sqref="R110:R112">
    <cfRule type="expression" dxfId="181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23C77426-AC62-40DE-81C6-F9EAFD0947CD}">
          <x14:formula1>
            <xm:f>'Grade Pós'!$A:$A</xm:f>
          </x14:formula1>
          <xm:sqref>A23:A31</xm:sqref>
        </x14:dataValidation>
        <x14:dataValidation type="list" allowBlank="1" showInputMessage="1" showErrorMessage="1" xr:uid="{D5DE3482-1963-4D43-9CDC-4DF9E652EF81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86E45882-C97E-4B31-9B4F-1042B5FB0C88}">
          <x14:formula1>
            <xm:f>Profs!$A:$A</xm:f>
          </x14:formula1>
          <xm:sqref>A5</xm:sqref>
        </x14:dataValidation>
        <x14:dataValidation type="list" allowBlank="1" showInputMessage="1" showErrorMessage="1" xr:uid="{66B5716C-50A4-4BF2-95F3-ACDBFC9956C9}">
          <x14:formula1>
            <xm:f>Dados!$A$108:$A$109</xm:f>
          </x14:formula1>
          <xm:sqref>D54:D64</xm:sqref>
        </x14:dataValidation>
        <x14:dataValidation type="list" allowBlank="1" showInputMessage="1" showErrorMessage="1" xr:uid="{D977382D-8BAA-48A0-A15B-272361DC3C78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196DBCCF-A0B5-4808-A4F3-670898F98051}">
          <x14:formula1>
            <xm:f>Dados!$A$44:$A$78</xm:f>
          </x14:formula1>
          <xm:sqref>A101:A112</xm:sqref>
        </x14:dataValidation>
        <x14:dataValidation type="list" allowBlank="1" showInputMessage="1" showErrorMessage="1" xr:uid="{43C2DEAE-2B55-49E1-814B-B6B330C927F2}">
          <x14:formula1>
            <xm:f>Dados!$A$95:$A$99</xm:f>
          </x14:formula1>
          <xm:sqref>D68</xm:sqref>
        </x14:dataValidation>
        <x14:dataValidation type="list" allowBlank="1" showInputMessage="1" showErrorMessage="1" xr:uid="{07C7A212-8039-44F6-B8E9-DD24601BFB2A}">
          <x14:formula1>
            <xm:f>Dados!$A$85:$A$90</xm:f>
          </x14:formula1>
          <xm:sqref>A37:A49</xm:sqref>
        </x14:dataValidation>
        <x14:dataValidation type="list" allowBlank="1" showInputMessage="1" showErrorMessage="1" xr:uid="{B3FF1D45-B4CC-4BE3-974D-86469052E920}">
          <x14:formula1>
            <xm:f>Dados!$A$38:$A$39</xm:f>
          </x14:formula1>
          <xm:sqref>H35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B08DA-1D00-4C46-82B0-661267BA04E8}">
  <sheetPr>
    <pageSetUpPr fitToPage="1"/>
  </sheetPr>
  <dimension ref="A1:W148"/>
  <sheetViews>
    <sheetView showGridLines="0" zoomScale="95" zoomScaleNormal="95" workbookViewId="0">
      <selection activeCell="A5" sqref="A5:C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/>
      <c r="B5" s="178"/>
      <c r="C5" s="178"/>
      <c r="D5" s="177"/>
      <c r="E5" s="177"/>
      <c r="F5" s="177"/>
      <c r="G5" s="177"/>
      <c r="H5" s="171" t="e">
        <f>VLOOKUP(A5,TProfessores[],2,0)</f>
        <v>#N/A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e">
        <f>VLOOKUP(A5,TProfessores[],3,0)</f>
        <v>#N/A</v>
      </c>
      <c r="B8" s="172"/>
      <c r="C8" s="172"/>
      <c r="D8" s="171" t="e">
        <f>VLOOKUP(A5,TProfessores[],5,0)</f>
        <v>#N/A</v>
      </c>
      <c r="E8" s="172"/>
      <c r="F8" s="172"/>
      <c r="G8" s="173"/>
      <c r="H8" s="86" t="e">
        <f>VLOOKUP(A5,TProfessores[],7,0)</f>
        <v>#N/A</v>
      </c>
      <c r="I8" s="160" t="e">
        <f>VLOOKUP(A5,TProfessores[],6,0)</f>
        <v>#N/A</v>
      </c>
      <c r="J8" s="171" t="e">
        <f>VLOOKUP(A5,TProfessores[],8,0)</f>
        <v>#N/A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/>
      <c r="B12" s="181"/>
      <c r="C12" s="182"/>
      <c r="D12" s="183" t="str">
        <f>IFERROR(VLOOKUP(A12,TGradeCurricular[],2,0),"")</f>
        <v/>
      </c>
      <c r="E12" s="184"/>
      <c r="F12" s="183" t="str">
        <f>IFERROR(VLOOKUP(A12,TGradeCurricular[],3,0),"")</f>
        <v/>
      </c>
      <c r="G12" s="184"/>
      <c r="H12" s="73"/>
      <c r="I12" s="73"/>
      <c r="J12" s="180"/>
      <c r="K12" s="181"/>
      <c r="L12" s="2">
        <f t="shared" ref="L12:L21" si="0">SUM(H12:I12)</f>
        <v>0</v>
      </c>
      <c r="M12" s="3">
        <f t="shared" ref="M12:M21" si="1">IF(A12&lt;&gt;0,1,0)</f>
        <v>0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</v>
      </c>
      <c r="R12" s="54">
        <f t="shared" ref="R12:R21" si="5">IFERROR(_xlfn.IFS($M$32=1,L12,$M$32=2,L12,$M$32=3,(L12*1.3),$M$32&gt;3,(L12*1.5)),0)</f>
        <v>0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>
        <v>0</v>
      </c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IFERROR(VLOOKUP('Ef3'!$A23,'Grade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IFERROR(VLOOKUP('Ef3'!$A24,'Grade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IFERROR(VLOOKUP('Ef3'!$A25,'Grade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IFERROR(VLOOKUP('Ef3'!$A26,'Grade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IFERROR(VLOOKUP('Ef3'!$A27,'Grade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IFERROR(VLOOKUP('Ef3'!$A28,'Grade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IFERROR(VLOOKUP('Ef3'!$A29,'Grade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IFERROR(VLOOKUP('Ef3'!$A30,'Grade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IFERROR(VLOOKUP('Ef3'!$A31,'Grade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0</v>
      </c>
      <c r="M32" s="5">
        <f>SUM(M12:M31)</f>
        <v>0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0</v>
      </c>
      <c r="R32" s="101">
        <f t="shared" si="9"/>
        <v>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IFERROR(VLOOKUP('Ef3'!$D54,Tabela20[],2,0),0)</f>
        <v>0</v>
      </c>
      <c r="R54" s="54">
        <f>IFERROR(VLOOKUP('Ef3'!$D54,Tabela20[],3,0),0)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IFERROR(VLOOKUP('Ef3'!$D55,Tabela20[],2,0),0)</f>
        <v>0</v>
      </c>
      <c r="R55" s="54">
        <f>IFERROR(VLOOKUP('Ef3'!$D55,Tabela20[],3,0),0)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IFERROR(VLOOKUP('Ef3'!$D56,Tabela20[],2,0),0)</f>
        <v>0</v>
      </c>
      <c r="R56" s="54">
        <f>IFERROR(VLOOKUP('Ef3'!$D56,Tabela20[],3,0),0)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IFERROR(VLOOKUP('Ef3'!$D57,Tabela20[],2,0),0)</f>
        <v>0</v>
      </c>
      <c r="R57" s="54">
        <f>IFERROR(VLOOKUP('Ef3'!$D57,Tabela20[],3,0),0)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IFERROR(VLOOKUP('Ef3'!$D58,Tabela20[],2,0),0)</f>
        <v>0</v>
      </c>
      <c r="R58" s="54">
        <f>IFERROR(VLOOKUP('Ef3'!$D58,Tabela20[],3,0),0)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IFERROR(VLOOKUP('Ef3'!$D59,Tabela20[],2,0),0)</f>
        <v>0</v>
      </c>
      <c r="R59" s="54">
        <f>IFERROR(VLOOKUP('Ef3'!$D59,Tabela20[],3,0),0)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IFERROR(VLOOKUP('Ef3'!$D60,Tabela20[],2,0),0)</f>
        <v>0</v>
      </c>
      <c r="R60" s="54">
        <f>IFERROR(VLOOKUP('Ef3'!$D60,Tabela20[],3,0),0)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IFERROR(VLOOKUP('Ef3'!$D61,Tabela20[],2,0),0)</f>
        <v>0</v>
      </c>
      <c r="R61" s="54">
        <f>IFERROR(VLOOKUP('Ef3'!$D61,Tabela20[],3,0),0)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IFERROR(VLOOKUP('Ef3'!$D62,Tabela20[],2,0),0)</f>
        <v>0</v>
      </c>
      <c r="R62" s="54">
        <f>IFERROR(VLOOKUP('Ef3'!$D62,Tabela20[],3,0),0)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IFERROR(VLOOKUP('Ef3'!$D63,Tabela20[],2,0),0)</f>
        <v>0</v>
      </c>
      <c r="R63" s="54">
        <f>IFERROR(VLOOKUP('Ef3'!$D63,Tabela20[],3,0),0)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IFERROR(VLOOKUP('Ef3'!$D64,Tabela20[],2,0),0)</f>
        <v>0</v>
      </c>
      <c r="R64" s="114">
        <f>IFERROR(VLOOKUP('Ef3'!$D64,Tabela20[],3,0),0)</f>
        <v>0</v>
      </c>
    </row>
    <row r="65" spans="1:23" s="89" customFormat="1" hidden="1" x14ac:dyDescent="0.25">
      <c r="A65" s="89" t="s">
        <v>756</v>
      </c>
      <c r="F65" s="124">
        <f>SUM('Ef3'!$F$54:$F$64)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IFERROR(VLOOKUP('Ef3'!$D70,Tabela11[],2),0)</f>
        <v>0</v>
      </c>
      <c r="R70" s="54">
        <f>IFERROR(VLOOKUP('Ef3'!$D70,Tabela11[],3),0)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IFERROR(VLOOKUP('Ef3'!$D71,Tabela11[],2),0)</f>
        <v>0</v>
      </c>
      <c r="R71" s="54">
        <f>IFERROR(VLOOKUP('Ef3'!$D71,Tabela11[],3),0)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IFERROR(VLOOKUP('Ef3'!$D72,Tabela11[],2),0)</f>
        <v>0</v>
      </c>
      <c r="R72" s="54">
        <f>IFERROR(VLOOKUP('Ef3'!$D72,Tabela11[],3),0)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IFERROR(VLOOKUP('Ef3'!$D73,Tabela11[],2),0)</f>
        <v>0</v>
      </c>
      <c r="R73" s="54">
        <f>IFERROR(VLOOKUP('Ef3'!$D73,Tabela11[],3),0)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IFERROR(VLOOKUP('Ef3'!$D74,Tabela11[],2),0)</f>
        <v>0</v>
      </c>
      <c r="R74" s="54">
        <f>IFERROR(VLOOKUP('Ef3'!$D74,Tabela11[],3),0)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IFERROR(VLOOKUP('Ef3'!$D75,Tabela11[],2),0)</f>
        <v>0</v>
      </c>
      <c r="R75" s="54">
        <f>IFERROR(VLOOKUP('Ef3'!$D75,Tabela11[],3),0)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IFERROR(VLOOKUP('Ef3'!$D76,Tabela11[],2),0)</f>
        <v>0</v>
      </c>
      <c r="R76" s="54">
        <f>IFERROR(VLOOKUP('Ef3'!$D76,Tabela11[],3),0)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IFERROR(VLOOKUP('Ef3'!$D77,Tabela11[],2),0)</f>
        <v>0</v>
      </c>
      <c r="R77" s="54">
        <f>IFERROR(VLOOKUP('Ef3'!$D77,Tabela11[],3),0)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IFERROR(VLOOKUP('Ef3'!$D78,Tabela11[],2),0)</f>
        <v>0</v>
      </c>
      <c r="R78" s="54">
        <f>IFERROR(VLOOKUP('Ef3'!$D78,Tabela11[],3),0)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IFERROR(VLOOKUP('Ef3'!$D79,Tabela11[],2),0)</f>
        <v>0</v>
      </c>
      <c r="R79" s="54">
        <f>IFERROR(VLOOKUP('Ef3'!$D79,Tabela11[],3),0)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IFERROR(VLOOKUP('Ef3'!$D80,Tabela11[],2),0)</f>
        <v>0</v>
      </c>
      <c r="R80" s="114">
        <f>IFERROR(VLOOKUP('Ef3'!$D80,Tabela11[],3),0)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IFERROR(VLOOKUP('Ef3'!$D85,Tabela21[],2,0),0)</f>
        <v>0</v>
      </c>
      <c r="P85" s="54">
        <f>IFERROR(VLOOKUP('Ef3'!$D85,Tabela21[],3,0),0)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IFERROR(VLOOKUP('Ef3'!$D86,Tabela21[],2,0),0)</f>
        <v>0</v>
      </c>
      <c r="P86" s="54">
        <f>IFERROR(VLOOKUP('Ef3'!$D86,Tabela21[],3,0),0)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IFERROR(VLOOKUP('Ef3'!$D87,Tabela21[],2,0),0)</f>
        <v>0</v>
      </c>
      <c r="P87" s="54">
        <f>IFERROR(VLOOKUP('Ef3'!$D87,Tabela21[],3,0),0)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IFERROR(VLOOKUP('Ef3'!$D88,Tabela21[],2,0),0)</f>
        <v>0</v>
      </c>
      <c r="P88" s="54">
        <f>IFERROR(VLOOKUP('Ef3'!$D88,Tabela21[],3,0),0)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IFERROR(VLOOKUP('Ef3'!$D89,Tabela21[],2,0),0)</f>
        <v>0</v>
      </c>
      <c r="P89" s="54">
        <f>IFERROR(VLOOKUP('Ef3'!$D89,Tabela21[],3,0),0)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IFERROR(VLOOKUP('Ef3'!$D90,Tabela21[],2,0),0)</f>
        <v>0</v>
      </c>
      <c r="P90" s="54">
        <f>IFERROR(VLOOKUP('Ef3'!$D90,Tabela21[],3,0),0)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IFERROR(VLOOKUP('Ef3'!$D91,Tabela21[],2,0),0)</f>
        <v>0</v>
      </c>
      <c r="P91" s="54">
        <f>IFERROR(VLOOKUP('Ef3'!$D91,Tabela21[],3,0),0)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IFERROR(VLOOKUP('Ef3'!$D92,Tabela21[],2,0),0)</f>
        <v>0</v>
      </c>
      <c r="P92" s="54">
        <f>IFERROR(VLOOKUP('Ef3'!$D92,Tabela21[],3,0),0)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IFERROR(VLOOKUP('Ef3'!$D93,Tabela21[],2,0),0)</f>
        <v>0</v>
      </c>
      <c r="P93" s="54">
        <f>IFERROR(VLOOKUP('Ef3'!$D93,Tabela21[],3,0),0)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IFERROR(VLOOKUP('Ef3'!$D94,Tabela21[],2,0),0)</f>
        <v>0</v>
      </c>
      <c r="P94" s="54">
        <f>IFERROR(VLOOKUP('Ef3'!$D94,Tabela21[],3,0),0)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IFERROR(VLOOKUP('Ef3'!$D95,Tabela21[],2,0),0)</f>
        <v>0</v>
      </c>
      <c r="P95" s="54">
        <f>IFERROR(VLOOKUP('Ef3'!$D95,Tabela21[],3,0),0)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IFERROR(VLOOKUP('Ef3'!$D96,Tabela21[],2,0),0)</f>
        <v>0</v>
      </c>
      <c r="P96" s="54">
        <f>IFERROR(VLOOKUP('Ef3'!$D96,Tabela21[],3,0),0)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IFERROR(VLOOKUP('Ef3'!$D97,Tabela21[],2,0),0)</f>
        <v>0</v>
      </c>
      <c r="P97" s="136">
        <f>IFERROR(VLOOKUP('Ef3'!$D97,Tabela21[],3,0),0)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IFERROR(VLOOKUP('Ef3'!$A101,TFunçõesAdm[],3,0),40)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IFERROR(VLOOKUP('Ef3'!$A102,TFunçõesAdm[],3,0),40)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IFERROR(VLOOKUP('Ef3'!$A103,TFunçõesAdm[],3,0),40)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IFERROR(VLOOKUP('Ef3'!$A104,TFunçõesAdm[],3,0),40)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IFERROR(VLOOKUP('Ef3'!$A105,TFunçõesAdm[],3,0),40)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IFERROR(VLOOKUP('Ef3'!$A106,TFunçõesAdm[],3,0),40)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IFERROR(VLOOKUP('Ef3'!$A107,TFunçõesAdm[],3,0),40)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IFERROR(VLOOKUP('Ef3'!$A108,TFunçõesAdm[],3,0),40)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IFERROR(VLOOKUP('Ef3'!$A109,TFunçõesAdm[],3,0),40)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IFERROR(VLOOKUP('Ef3'!$A110,TFunçõesAdm[],3,0),40)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IFERROR(VLOOKUP('Ef3'!$A111,TFunçõesAdm[],3,0),40)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IFERROR(VLOOKUP('Ef3'!$A112,TFunçõesAdm[],3,0),40)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MIN('Ef3'!$L$101:$L$112)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SUM('Ef3'!$F$123:$F$124)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e">
        <f>VLOOKUP(H5,TChefeDpto[],2,0)</f>
        <v>#N/A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e">
        <f>A8</f>
        <v>#N/A</v>
      </c>
      <c r="B148" s="26">
        <f>A5</f>
        <v>0</v>
      </c>
      <c r="C148" s="26" t="e">
        <f>D8</f>
        <v>#N/A</v>
      </c>
      <c r="D148" s="70" t="e">
        <f>H8</f>
        <v>#N/A</v>
      </c>
      <c r="E148" s="70" t="e">
        <f>I8</f>
        <v>#N/A</v>
      </c>
      <c r="F148" s="71">
        <f>SUM(H12:I21)</f>
        <v>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0</v>
      </c>
    </row>
  </sheetData>
  <sheetProtection sheet="1"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180" priority="26">
      <formula>se+$A$134&lt;$L$35</formula>
    </cfRule>
    <cfRule type="cellIs" dxfId="179" priority="25" operator="lessThan">
      <formula>M35</formula>
    </cfRule>
  </conditionalFormatting>
  <conditionalFormatting sqref="B134">
    <cfRule type="expression" dxfId="178" priority="35">
      <formula>P32=1</formula>
    </cfRule>
  </conditionalFormatting>
  <conditionalFormatting sqref="E134">
    <cfRule type="expression" dxfId="177" priority="20">
      <formula>($E$134&gt;$L$68)</formula>
    </cfRule>
  </conditionalFormatting>
  <conditionalFormatting sqref="F54:F64">
    <cfRule type="cellIs" dxfId="176" priority="18" operator="greaterThan">
      <formula>R54</formula>
    </cfRule>
  </conditionalFormatting>
  <conditionalFormatting sqref="F101:F112">
    <cfRule type="cellIs" dxfId="175" priority="3" operator="notBetween">
      <formula>Q101</formula>
      <formula>R101</formula>
    </cfRule>
  </conditionalFormatting>
  <conditionalFormatting sqref="F70:G80">
    <cfRule type="cellIs" dxfId="174" priority="2" operator="notBetween">
      <formula>Q70</formula>
      <formula>R70</formula>
    </cfRule>
  </conditionalFormatting>
  <conditionalFormatting sqref="J12:J21">
    <cfRule type="expression" dxfId="173" priority="9">
      <formula>P12=1</formula>
    </cfRule>
  </conditionalFormatting>
  <conditionalFormatting sqref="J23:J31">
    <cfRule type="expression" dxfId="172" priority="1">
      <formula>P23=1</formula>
    </cfRule>
  </conditionalFormatting>
  <conditionalFormatting sqref="K37:K49">
    <cfRule type="expression" dxfId="171" priority="27">
      <formula>(K37&gt;R37)</formula>
    </cfRule>
  </conditionalFormatting>
  <conditionalFormatting sqref="K134">
    <cfRule type="cellIs" dxfId="170" priority="33" operator="notEqual">
      <formula>40</formula>
    </cfRule>
  </conditionalFormatting>
  <conditionalFormatting sqref="O85:P91">
    <cfRule type="expression" dxfId="169" priority="47">
      <formula>T82=1</formula>
    </cfRule>
  </conditionalFormatting>
  <conditionalFormatting sqref="O92:P92">
    <cfRule type="expression" dxfId="168" priority="54">
      <formula>T84=1</formula>
    </cfRule>
  </conditionalFormatting>
  <conditionalFormatting sqref="O93:P93">
    <cfRule type="expression" dxfId="167" priority="49">
      <formula>T84=1</formula>
    </cfRule>
  </conditionalFormatting>
  <conditionalFormatting sqref="O94:P94">
    <cfRule type="expression" dxfId="166" priority="48">
      <formula>T84=1</formula>
    </cfRule>
  </conditionalFormatting>
  <conditionalFormatting sqref="O95:P95">
    <cfRule type="expression" dxfId="165" priority="38">
      <formula>T84=1</formula>
    </cfRule>
  </conditionalFormatting>
  <conditionalFormatting sqref="O96:P96">
    <cfRule type="expression" dxfId="164" priority="21">
      <formula>T83=1</formula>
    </cfRule>
  </conditionalFormatting>
  <conditionalFormatting sqref="Q78:Q79">
    <cfRule type="expression" dxfId="163" priority="51">
      <formula>T68=1</formula>
    </cfRule>
  </conditionalFormatting>
  <conditionalFormatting sqref="Q80">
    <cfRule type="expression" dxfId="162" priority="43">
      <formula>S69=1</formula>
    </cfRule>
  </conditionalFormatting>
  <conditionalFormatting sqref="Q81">
    <cfRule type="expression" dxfId="161" priority="42">
      <formula>S69=1</formula>
    </cfRule>
  </conditionalFormatting>
  <conditionalFormatting sqref="Q37:R44">
    <cfRule type="expression" dxfId="160" priority="30">
      <formula>T34=1</formula>
    </cfRule>
  </conditionalFormatting>
  <conditionalFormatting sqref="Q45:R45">
    <cfRule type="expression" dxfId="159" priority="44">
      <formula>T37=1</formula>
    </cfRule>
  </conditionalFormatting>
  <conditionalFormatting sqref="Q46:R46">
    <cfRule type="expression" dxfId="158" priority="22">
      <formula>T37=1</formula>
    </cfRule>
  </conditionalFormatting>
  <conditionalFormatting sqref="Q47:R49">
    <cfRule type="expression" dxfId="157" priority="28">
      <formula>T37=1</formula>
    </cfRule>
  </conditionalFormatting>
  <conditionalFormatting sqref="Q54:R57">
    <cfRule type="expression" dxfId="156" priority="31">
      <formula>T51=1</formula>
    </cfRule>
  </conditionalFormatting>
  <conditionalFormatting sqref="Q58:R63">
    <cfRule type="expression" dxfId="155" priority="23">
      <formula>T52=1</formula>
    </cfRule>
  </conditionalFormatting>
  <conditionalFormatting sqref="Q64:R64">
    <cfRule type="expression" dxfId="154" priority="50">
      <formula>T53=1</formula>
    </cfRule>
  </conditionalFormatting>
  <conditionalFormatting sqref="Q70:R76">
    <cfRule type="expression" dxfId="153" priority="36">
      <formula>T66=1</formula>
    </cfRule>
  </conditionalFormatting>
  <conditionalFormatting sqref="Q77:R77">
    <cfRule type="expression" dxfId="152" priority="29">
      <formula>T68=1</formula>
    </cfRule>
  </conditionalFormatting>
  <conditionalFormatting sqref="Q101:R106 Q107:Q112 R109">
    <cfRule type="expression" dxfId="151" priority="39">
      <formula>T99=1</formula>
    </cfRule>
  </conditionalFormatting>
  <conditionalFormatting sqref="Q113:R113">
    <cfRule type="expression" dxfId="150" priority="34">
      <formula>#REF!=1</formula>
    </cfRule>
  </conditionalFormatting>
  <conditionalFormatting sqref="R78:R79">
    <cfRule type="expression" dxfId="149" priority="46">
      <formula>U67=1</formula>
    </cfRule>
  </conditionalFormatting>
  <conditionalFormatting sqref="R80">
    <cfRule type="expression" dxfId="148" priority="52">
      <formula>U67=1</formula>
    </cfRule>
  </conditionalFormatting>
  <conditionalFormatting sqref="R81">
    <cfRule type="expression" dxfId="147" priority="53">
      <formula>U69=1</formula>
    </cfRule>
  </conditionalFormatting>
  <conditionalFormatting sqref="R107:R108">
    <cfRule type="expression" dxfId="146" priority="55">
      <formula>U101=1</formula>
    </cfRule>
  </conditionalFormatting>
  <conditionalFormatting sqref="R110:R112">
    <cfRule type="expression" dxfId="145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7EBE006A-FD0A-4CDC-8062-2BF48194C4E5}">
          <x14:formula1>
            <xm:f>Dados!$A$38:$A$39</xm:f>
          </x14:formula1>
          <xm:sqref>H35</xm:sqref>
        </x14:dataValidation>
        <x14:dataValidation type="list" allowBlank="1" showInputMessage="1" showErrorMessage="1" xr:uid="{A4E6A6D8-98BA-454C-A916-7B5952EEC920}">
          <x14:formula1>
            <xm:f>Dados!$A$85:$A$90</xm:f>
          </x14:formula1>
          <xm:sqref>A37:A49</xm:sqref>
        </x14:dataValidation>
        <x14:dataValidation type="list" allowBlank="1" showInputMessage="1" showErrorMessage="1" xr:uid="{621BED53-B31B-43D3-B6F2-46B93C1B898D}">
          <x14:formula1>
            <xm:f>Dados!$A$95:$A$99</xm:f>
          </x14:formula1>
          <xm:sqref>D68</xm:sqref>
        </x14:dataValidation>
        <x14:dataValidation type="list" allowBlank="1" showInputMessage="1" showErrorMessage="1" xr:uid="{A29DE2FA-0A9E-4524-86F7-101F7089EFC7}">
          <x14:formula1>
            <xm:f>Dados!$A$44:$A$78</xm:f>
          </x14:formula1>
          <xm:sqref>A101:A112</xm:sqref>
        </x14:dataValidation>
        <x14:dataValidation type="list" allowBlank="1" showInputMessage="1" showErrorMessage="1" xr:uid="{AAF86F75-4103-443A-9976-4669680BE2DE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D52710CA-8F54-41F4-93E7-9F0CE62143B0}">
          <x14:formula1>
            <xm:f>Dados!$A$108:$A$109</xm:f>
          </x14:formula1>
          <xm:sqref>D54:D64</xm:sqref>
        </x14:dataValidation>
        <x14:dataValidation type="list" allowBlank="1" showInputMessage="1" showErrorMessage="1" xr:uid="{8E68F1E0-FF68-491B-90E0-93A790097FD3}">
          <x14:formula1>
            <xm:f>Profs!$A:$A</xm:f>
          </x14:formula1>
          <xm:sqref>A5</xm:sqref>
        </x14:dataValidation>
        <x14:dataValidation type="list" allowBlank="1" showInputMessage="1" showErrorMessage="1" xr:uid="{5770A891-C82D-44AF-ACD7-1EA7357E79DD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500ABC4C-6CD2-4460-9831-8DE4A85F76D3}">
          <x14:formula1>
            <xm:f>'Grade Pós'!$A:$A</xm:f>
          </x14:formula1>
          <xm:sqref>A23:A31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8E74D-4E98-4176-9FD7-6D5E5B778AE8}">
  <sheetPr>
    <pageSetUpPr fitToPage="1"/>
  </sheetPr>
  <dimension ref="A1:W148"/>
  <sheetViews>
    <sheetView showGridLines="0" zoomScale="95" zoomScaleNormal="95" workbookViewId="0">
      <selection activeCell="A5" sqref="A5:C5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/>
      <c r="B5" s="178"/>
      <c r="C5" s="178"/>
      <c r="D5" s="177"/>
      <c r="E5" s="177"/>
      <c r="F5" s="177"/>
      <c r="G5" s="177"/>
      <c r="H5" s="171" t="e">
        <f>VLOOKUP(A5,TProfessores[],2,0)</f>
        <v>#N/A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e">
        <f>VLOOKUP(A5,TProfessores[],3,0)</f>
        <v>#N/A</v>
      </c>
      <c r="B8" s="172"/>
      <c r="C8" s="172"/>
      <c r="D8" s="171" t="e">
        <f>VLOOKUP(A5,TProfessores[],5,0)</f>
        <v>#N/A</v>
      </c>
      <c r="E8" s="172"/>
      <c r="F8" s="172"/>
      <c r="G8" s="173"/>
      <c r="H8" s="86" t="e">
        <f>VLOOKUP(A5,TProfessores[],7,0)</f>
        <v>#N/A</v>
      </c>
      <c r="I8" s="160" t="e">
        <f>VLOOKUP(A5,TProfessores[],6,0)</f>
        <v>#N/A</v>
      </c>
      <c r="J8" s="171" t="e">
        <f>VLOOKUP(A5,TProfessores[],8,0)</f>
        <v>#N/A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/>
      <c r="B12" s="181"/>
      <c r="C12" s="182"/>
      <c r="D12" s="183" t="str">
        <f>IFERROR(VLOOKUP(A12,TGradeCurricular[],2,0),"")</f>
        <v/>
      </c>
      <c r="E12" s="184"/>
      <c r="F12" s="183" t="str">
        <f>IFERROR(VLOOKUP(A12,TGradeCurricular[],3,0),"")</f>
        <v/>
      </c>
      <c r="G12" s="184"/>
      <c r="H12" s="73"/>
      <c r="I12" s="73"/>
      <c r="J12" s="180"/>
      <c r="K12" s="181"/>
      <c r="L12" s="2">
        <f t="shared" ref="L12:L21" si="0">SUM(H12:I12)</f>
        <v>0</v>
      </c>
      <c r="M12" s="3">
        <f t="shared" ref="M12:M21" si="1">IF(A12&lt;&gt;0,1,0)</f>
        <v>0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</v>
      </c>
      <c r="R12" s="54">
        <f t="shared" ref="R12:R21" si="5">IFERROR(_xlfn.IFS($M$32=1,L12,$M$32=2,L12,$M$32=3,(L12*1.3),$M$32&gt;3,(L12*1.5)),0)</f>
        <v>0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>
        <v>0</v>
      </c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IFERROR(VLOOKUP('Ef4'!$A23,'Grade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IFERROR(VLOOKUP('Ef4'!$A24,'Grade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IFERROR(VLOOKUP('Ef4'!$A25,'Grade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IFERROR(VLOOKUP('Ef4'!$A26,'Grade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IFERROR(VLOOKUP('Ef4'!$A27,'Grade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IFERROR(VLOOKUP('Ef4'!$A28,'Grade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IFERROR(VLOOKUP('Ef4'!$A29,'Grade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IFERROR(VLOOKUP('Ef4'!$A30,'Grade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IFERROR(VLOOKUP('Ef4'!$A31,'Grade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0</v>
      </c>
      <c r="M32" s="5">
        <f>SUM(M12:M31)</f>
        <v>0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0</v>
      </c>
      <c r="R32" s="101">
        <f t="shared" si="9"/>
        <v>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IFERROR(VLOOKUP('Ef4'!$D54,Tabela20[],2,0),0)</f>
        <v>0</v>
      </c>
      <c r="R54" s="54">
        <f>IFERROR(VLOOKUP('Ef4'!$D54,Tabela20[],3,0),0)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IFERROR(VLOOKUP('Ef4'!$D55,Tabela20[],2,0),0)</f>
        <v>0</v>
      </c>
      <c r="R55" s="54">
        <f>IFERROR(VLOOKUP('Ef4'!$D55,Tabela20[],3,0),0)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IFERROR(VLOOKUP('Ef4'!$D56,Tabela20[],2,0),0)</f>
        <v>0</v>
      </c>
      <c r="R56" s="54">
        <f>IFERROR(VLOOKUP('Ef4'!$D56,Tabela20[],3,0),0)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IFERROR(VLOOKUP('Ef4'!$D57,Tabela20[],2,0),0)</f>
        <v>0</v>
      </c>
      <c r="R57" s="54">
        <f>IFERROR(VLOOKUP('Ef4'!$D57,Tabela20[],3,0),0)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IFERROR(VLOOKUP('Ef4'!$D58,Tabela20[],2,0),0)</f>
        <v>0</v>
      </c>
      <c r="R58" s="54">
        <f>IFERROR(VLOOKUP('Ef4'!$D58,Tabela20[],3,0),0)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IFERROR(VLOOKUP('Ef4'!$D59,Tabela20[],2,0),0)</f>
        <v>0</v>
      </c>
      <c r="R59" s="54">
        <f>IFERROR(VLOOKUP('Ef4'!$D59,Tabela20[],3,0),0)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IFERROR(VLOOKUP('Ef4'!$D60,Tabela20[],2,0),0)</f>
        <v>0</v>
      </c>
      <c r="R60" s="54">
        <f>IFERROR(VLOOKUP('Ef4'!$D60,Tabela20[],3,0),0)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IFERROR(VLOOKUP('Ef4'!$D61,Tabela20[],2,0),0)</f>
        <v>0</v>
      </c>
      <c r="R61" s="54">
        <f>IFERROR(VLOOKUP('Ef4'!$D61,Tabela20[],3,0),0)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IFERROR(VLOOKUP('Ef4'!$D62,Tabela20[],2,0),0)</f>
        <v>0</v>
      </c>
      <c r="R62" s="54">
        <f>IFERROR(VLOOKUP('Ef4'!$D62,Tabela20[],3,0),0)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IFERROR(VLOOKUP('Ef4'!$D63,Tabela20[],2,0),0)</f>
        <v>0</v>
      </c>
      <c r="R63" s="54">
        <f>IFERROR(VLOOKUP('Ef4'!$D63,Tabela20[],3,0),0)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IFERROR(VLOOKUP('Ef4'!$D64,Tabela20[],2,0),0)</f>
        <v>0</v>
      </c>
      <c r="R64" s="114">
        <f>IFERROR(VLOOKUP('Ef4'!$D64,Tabela20[],3,0),0)</f>
        <v>0</v>
      </c>
    </row>
    <row r="65" spans="1:23" s="89" customFormat="1" hidden="1" x14ac:dyDescent="0.25">
      <c r="A65" s="89" t="s">
        <v>756</v>
      </c>
      <c r="F65" s="124">
        <f>SUM('Ef4'!$F$54:$F$64)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IFERROR(VLOOKUP('Ef4'!$D70,Tabela11[],2),0)</f>
        <v>0</v>
      </c>
      <c r="R70" s="54">
        <f>IFERROR(VLOOKUP('Ef4'!$D70,Tabela11[],3),0)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IFERROR(VLOOKUP('Ef4'!$D71,Tabela11[],2),0)</f>
        <v>0</v>
      </c>
      <c r="R71" s="54">
        <f>IFERROR(VLOOKUP('Ef4'!$D71,Tabela11[],3),0)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IFERROR(VLOOKUP('Ef4'!$D72,Tabela11[],2),0)</f>
        <v>0</v>
      </c>
      <c r="R72" s="54">
        <f>IFERROR(VLOOKUP('Ef4'!$D72,Tabela11[],3),0)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IFERROR(VLOOKUP('Ef4'!$D73,Tabela11[],2),0)</f>
        <v>0</v>
      </c>
      <c r="R73" s="54">
        <f>IFERROR(VLOOKUP('Ef4'!$D73,Tabela11[],3),0)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IFERROR(VLOOKUP('Ef4'!$D74,Tabela11[],2),0)</f>
        <v>0</v>
      </c>
      <c r="R74" s="54">
        <f>IFERROR(VLOOKUP('Ef4'!$D74,Tabela11[],3),0)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IFERROR(VLOOKUP('Ef4'!$D75,Tabela11[],2),0)</f>
        <v>0</v>
      </c>
      <c r="R75" s="54">
        <f>IFERROR(VLOOKUP('Ef4'!$D75,Tabela11[],3),0)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IFERROR(VLOOKUP('Ef4'!$D76,Tabela11[],2),0)</f>
        <v>0</v>
      </c>
      <c r="R76" s="54">
        <f>IFERROR(VLOOKUP('Ef4'!$D76,Tabela11[],3),0)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IFERROR(VLOOKUP('Ef4'!$D77,Tabela11[],2),0)</f>
        <v>0</v>
      </c>
      <c r="R77" s="54">
        <f>IFERROR(VLOOKUP('Ef4'!$D77,Tabela11[],3),0)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IFERROR(VLOOKUP('Ef4'!$D78,Tabela11[],2),0)</f>
        <v>0</v>
      </c>
      <c r="R78" s="54">
        <f>IFERROR(VLOOKUP('Ef4'!$D78,Tabela11[],3),0)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IFERROR(VLOOKUP('Ef4'!$D79,Tabela11[],2),0)</f>
        <v>0</v>
      </c>
      <c r="R79" s="54">
        <f>IFERROR(VLOOKUP('Ef4'!$D79,Tabela11[],3),0)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IFERROR(VLOOKUP('Ef4'!$D80,Tabela11[],2),0)</f>
        <v>0</v>
      </c>
      <c r="R80" s="114">
        <f>IFERROR(VLOOKUP('Ef4'!$D80,Tabela11[],3),0)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IFERROR(VLOOKUP('Ef4'!$D85,Tabela21[],2,0),0)</f>
        <v>0</v>
      </c>
      <c r="P85" s="54">
        <f>IFERROR(VLOOKUP('Ef4'!$D85,Tabela21[],3,0),0)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IFERROR(VLOOKUP('Ef4'!$D86,Tabela21[],2,0),0)</f>
        <v>0</v>
      </c>
      <c r="P86" s="54">
        <f>IFERROR(VLOOKUP('Ef4'!$D86,Tabela21[],3,0),0)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IFERROR(VLOOKUP('Ef4'!$D87,Tabela21[],2,0),0)</f>
        <v>0</v>
      </c>
      <c r="P87" s="54">
        <f>IFERROR(VLOOKUP('Ef4'!$D87,Tabela21[],3,0),0)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IFERROR(VLOOKUP('Ef4'!$D88,Tabela21[],2,0),0)</f>
        <v>0</v>
      </c>
      <c r="P88" s="54">
        <f>IFERROR(VLOOKUP('Ef4'!$D88,Tabela21[],3,0),0)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IFERROR(VLOOKUP('Ef4'!$D89,Tabela21[],2,0),0)</f>
        <v>0</v>
      </c>
      <c r="P89" s="54">
        <f>IFERROR(VLOOKUP('Ef4'!$D89,Tabela21[],3,0),0)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IFERROR(VLOOKUP('Ef4'!$D90,Tabela21[],2,0),0)</f>
        <v>0</v>
      </c>
      <c r="P90" s="54">
        <f>IFERROR(VLOOKUP('Ef4'!$D90,Tabela21[],3,0),0)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IFERROR(VLOOKUP('Ef4'!$D91,Tabela21[],2,0),0)</f>
        <v>0</v>
      </c>
      <c r="P91" s="54">
        <f>IFERROR(VLOOKUP('Ef4'!$D91,Tabela21[],3,0),0)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IFERROR(VLOOKUP('Ef4'!$D92,Tabela21[],2,0),0)</f>
        <v>0</v>
      </c>
      <c r="P92" s="54">
        <f>IFERROR(VLOOKUP('Ef4'!$D92,Tabela21[],3,0),0)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IFERROR(VLOOKUP('Ef4'!$D93,Tabela21[],2,0),0)</f>
        <v>0</v>
      </c>
      <c r="P93" s="54">
        <f>IFERROR(VLOOKUP('Ef4'!$D93,Tabela21[],3,0),0)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IFERROR(VLOOKUP('Ef4'!$D94,Tabela21[],2,0),0)</f>
        <v>0</v>
      </c>
      <c r="P94" s="54">
        <f>IFERROR(VLOOKUP('Ef4'!$D94,Tabela21[],3,0),0)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IFERROR(VLOOKUP('Ef4'!$D95,Tabela21[],2,0),0)</f>
        <v>0</v>
      </c>
      <c r="P95" s="54">
        <f>IFERROR(VLOOKUP('Ef4'!$D95,Tabela21[],3,0),0)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IFERROR(VLOOKUP('Ef4'!$D96,Tabela21[],2,0),0)</f>
        <v>0</v>
      </c>
      <c r="P96" s="54">
        <f>IFERROR(VLOOKUP('Ef4'!$D96,Tabela21[],3,0),0)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IFERROR(VLOOKUP('Ef4'!$D97,Tabela21[],2,0),0)</f>
        <v>0</v>
      </c>
      <c r="P97" s="136">
        <f>IFERROR(VLOOKUP('Ef4'!$D97,Tabela21[],3,0),0)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IFERROR(VLOOKUP('Ef4'!$A101,TFunçõesAdm[],3,0),40)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IFERROR(VLOOKUP('Ef4'!$A102,TFunçõesAdm[],3,0),40)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IFERROR(VLOOKUP('Ef4'!$A103,TFunçõesAdm[],3,0),40)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IFERROR(VLOOKUP('Ef4'!$A104,TFunçõesAdm[],3,0),40)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IFERROR(VLOOKUP('Ef4'!$A105,TFunçõesAdm[],3,0),40)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IFERROR(VLOOKUP('Ef4'!$A106,TFunçõesAdm[],3,0),40)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IFERROR(VLOOKUP('Ef4'!$A107,TFunçõesAdm[],3,0),40)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IFERROR(VLOOKUP('Ef4'!$A108,TFunçõesAdm[],3,0),40)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IFERROR(VLOOKUP('Ef4'!$A109,TFunçõesAdm[],3,0),40)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IFERROR(VLOOKUP('Ef4'!$A110,TFunçõesAdm[],3,0),40)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IFERROR(VLOOKUP('Ef4'!$A111,TFunçõesAdm[],3,0),40)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IFERROR(VLOOKUP('Ef4'!$A112,TFunçõesAdm[],3,0),40)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MIN('Ef4'!$L$101:$L$112)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SUM('Ef4'!$F$123:$F$124)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e">
        <f>VLOOKUP(H5,TChefeDpto[],2,0)</f>
        <v>#N/A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e">
        <f>A8</f>
        <v>#N/A</v>
      </c>
      <c r="B148" s="26">
        <f>A5</f>
        <v>0</v>
      </c>
      <c r="C148" s="26" t="e">
        <f>D8</f>
        <v>#N/A</v>
      </c>
      <c r="D148" s="70" t="e">
        <f>H8</f>
        <v>#N/A</v>
      </c>
      <c r="E148" s="70" t="e">
        <f>I8</f>
        <v>#N/A</v>
      </c>
      <c r="F148" s="71">
        <f>SUM(H12:I21)</f>
        <v>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0</v>
      </c>
    </row>
  </sheetData>
  <sheetProtection sheet="1"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144" priority="26">
      <formula>se+$A$134&lt;$L$35</formula>
    </cfRule>
    <cfRule type="cellIs" dxfId="143" priority="25" operator="lessThan">
      <formula>M35</formula>
    </cfRule>
  </conditionalFormatting>
  <conditionalFormatting sqref="B134">
    <cfRule type="expression" dxfId="142" priority="35">
      <formula>P32=1</formula>
    </cfRule>
  </conditionalFormatting>
  <conditionalFormatting sqref="E134">
    <cfRule type="expression" dxfId="141" priority="20">
      <formula>($E$134&gt;$L$68)</formula>
    </cfRule>
  </conditionalFormatting>
  <conditionalFormatting sqref="F54:F64">
    <cfRule type="cellIs" dxfId="140" priority="18" operator="greaterThan">
      <formula>R54</formula>
    </cfRule>
  </conditionalFormatting>
  <conditionalFormatting sqref="F101:F112">
    <cfRule type="cellIs" dxfId="139" priority="3" operator="notBetween">
      <formula>Q101</formula>
      <formula>R101</formula>
    </cfRule>
  </conditionalFormatting>
  <conditionalFormatting sqref="F70:G80">
    <cfRule type="cellIs" dxfId="138" priority="2" operator="notBetween">
      <formula>Q70</formula>
      <formula>R70</formula>
    </cfRule>
  </conditionalFormatting>
  <conditionalFormatting sqref="J12:J21">
    <cfRule type="expression" dxfId="137" priority="9">
      <formula>P12=1</formula>
    </cfRule>
  </conditionalFormatting>
  <conditionalFormatting sqref="J23:J31">
    <cfRule type="expression" dxfId="136" priority="1">
      <formula>P23=1</formula>
    </cfRule>
  </conditionalFormatting>
  <conditionalFormatting sqref="K37:K49">
    <cfRule type="expression" dxfId="135" priority="27">
      <formula>(K37&gt;R37)</formula>
    </cfRule>
  </conditionalFormatting>
  <conditionalFormatting sqref="K134">
    <cfRule type="cellIs" dxfId="134" priority="33" operator="notEqual">
      <formula>40</formula>
    </cfRule>
  </conditionalFormatting>
  <conditionalFormatting sqref="O85:P91">
    <cfRule type="expression" dxfId="133" priority="47">
      <formula>T82=1</formula>
    </cfRule>
  </conditionalFormatting>
  <conditionalFormatting sqref="O92:P92">
    <cfRule type="expression" dxfId="132" priority="54">
      <formula>T84=1</formula>
    </cfRule>
  </conditionalFormatting>
  <conditionalFormatting sqref="O93:P93">
    <cfRule type="expression" dxfId="131" priority="49">
      <formula>T84=1</formula>
    </cfRule>
  </conditionalFormatting>
  <conditionalFormatting sqref="O94:P94">
    <cfRule type="expression" dxfId="130" priority="48">
      <formula>T84=1</formula>
    </cfRule>
  </conditionalFormatting>
  <conditionalFormatting sqref="O95:P95">
    <cfRule type="expression" dxfId="129" priority="38">
      <formula>T84=1</formula>
    </cfRule>
  </conditionalFormatting>
  <conditionalFormatting sqref="O96:P96">
    <cfRule type="expression" dxfId="128" priority="21">
      <formula>T83=1</formula>
    </cfRule>
  </conditionalFormatting>
  <conditionalFormatting sqref="Q78:Q79">
    <cfRule type="expression" dxfId="127" priority="51">
      <formula>T68=1</formula>
    </cfRule>
  </conditionalFormatting>
  <conditionalFormatting sqref="Q80">
    <cfRule type="expression" dxfId="126" priority="43">
      <formula>S69=1</formula>
    </cfRule>
  </conditionalFormatting>
  <conditionalFormatting sqref="Q81">
    <cfRule type="expression" dxfId="125" priority="42">
      <formula>S69=1</formula>
    </cfRule>
  </conditionalFormatting>
  <conditionalFormatting sqref="Q37:R44">
    <cfRule type="expression" dxfId="124" priority="30">
      <formula>T34=1</formula>
    </cfRule>
  </conditionalFormatting>
  <conditionalFormatting sqref="Q45:R45">
    <cfRule type="expression" dxfId="123" priority="44">
      <formula>T37=1</formula>
    </cfRule>
  </conditionalFormatting>
  <conditionalFormatting sqref="Q46:R46">
    <cfRule type="expression" dxfId="122" priority="22">
      <formula>T37=1</formula>
    </cfRule>
  </conditionalFormatting>
  <conditionalFormatting sqref="Q47:R49">
    <cfRule type="expression" dxfId="121" priority="28">
      <formula>T37=1</formula>
    </cfRule>
  </conditionalFormatting>
  <conditionalFormatting sqref="Q54:R57">
    <cfRule type="expression" dxfId="120" priority="31">
      <formula>T51=1</formula>
    </cfRule>
  </conditionalFormatting>
  <conditionalFormatting sqref="Q58:R63">
    <cfRule type="expression" dxfId="119" priority="23">
      <formula>T52=1</formula>
    </cfRule>
  </conditionalFormatting>
  <conditionalFormatting sqref="Q64:R64">
    <cfRule type="expression" dxfId="118" priority="50">
      <formula>T53=1</formula>
    </cfRule>
  </conditionalFormatting>
  <conditionalFormatting sqref="Q70:R76">
    <cfRule type="expression" dxfId="117" priority="36">
      <formula>T66=1</formula>
    </cfRule>
  </conditionalFormatting>
  <conditionalFormatting sqref="Q77:R77">
    <cfRule type="expression" dxfId="116" priority="29">
      <formula>T68=1</formula>
    </cfRule>
  </conditionalFormatting>
  <conditionalFormatting sqref="Q101:R106 Q107:Q112 R109">
    <cfRule type="expression" dxfId="115" priority="39">
      <formula>T99=1</formula>
    </cfRule>
  </conditionalFormatting>
  <conditionalFormatting sqref="Q113:R113">
    <cfRule type="expression" dxfId="114" priority="34">
      <formula>#REF!=1</formula>
    </cfRule>
  </conditionalFormatting>
  <conditionalFormatting sqref="R78:R79">
    <cfRule type="expression" dxfId="113" priority="46">
      <formula>U67=1</formula>
    </cfRule>
  </conditionalFormatting>
  <conditionalFormatting sqref="R80">
    <cfRule type="expression" dxfId="112" priority="52">
      <formula>U67=1</formula>
    </cfRule>
  </conditionalFormatting>
  <conditionalFormatting sqref="R81">
    <cfRule type="expression" dxfId="111" priority="53">
      <formula>U69=1</formula>
    </cfRule>
  </conditionalFormatting>
  <conditionalFormatting sqref="R107:R108">
    <cfRule type="expression" dxfId="110" priority="55">
      <formula>U101=1</formula>
    </cfRule>
  </conditionalFormatting>
  <conditionalFormatting sqref="R110:R112">
    <cfRule type="expression" dxfId="109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7C99B97D-20F9-495A-9F89-2B0684F1527D}">
          <x14:formula1>
            <xm:f>'Grade Pós'!$A:$A</xm:f>
          </x14:formula1>
          <xm:sqref>A23:A31</xm:sqref>
        </x14:dataValidation>
        <x14:dataValidation type="list" allowBlank="1" showInputMessage="1" showErrorMessage="1" xr:uid="{7CD22317-5EB5-411B-AA73-79532B8C33B1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745DA174-71FC-4909-81A7-A90DBC89BFEC}">
          <x14:formula1>
            <xm:f>Profs!$A:$A</xm:f>
          </x14:formula1>
          <xm:sqref>A5</xm:sqref>
        </x14:dataValidation>
        <x14:dataValidation type="list" allowBlank="1" showInputMessage="1" showErrorMessage="1" xr:uid="{42E74772-01C2-44D6-BF7D-F40BAD2D5A60}">
          <x14:formula1>
            <xm:f>Dados!$A$108:$A$109</xm:f>
          </x14:formula1>
          <xm:sqref>D54:D64</xm:sqref>
        </x14:dataValidation>
        <x14:dataValidation type="list" allowBlank="1" showInputMessage="1" showErrorMessage="1" xr:uid="{B700DEB8-B1C0-4F5F-A4DB-D2208ACFDEC1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BB95DBE8-76B8-45E4-A002-9657BF77CC3D}">
          <x14:formula1>
            <xm:f>Dados!$A$44:$A$78</xm:f>
          </x14:formula1>
          <xm:sqref>A101:A112</xm:sqref>
        </x14:dataValidation>
        <x14:dataValidation type="list" allowBlank="1" showInputMessage="1" showErrorMessage="1" xr:uid="{8E8FAD44-E9F2-420A-9977-0FE047863746}">
          <x14:formula1>
            <xm:f>Dados!$A$95:$A$99</xm:f>
          </x14:formula1>
          <xm:sqref>D68</xm:sqref>
        </x14:dataValidation>
        <x14:dataValidation type="list" allowBlank="1" showInputMessage="1" showErrorMessage="1" xr:uid="{52881BAC-55E3-4A9A-95C2-0954C213FD28}">
          <x14:formula1>
            <xm:f>Dados!$A$85:$A$90</xm:f>
          </x14:formula1>
          <xm:sqref>A37:A49</xm:sqref>
        </x14:dataValidation>
        <x14:dataValidation type="list" allowBlank="1" showInputMessage="1" showErrorMessage="1" xr:uid="{159A81A1-DE53-4C16-8F4E-D2AD44E4296D}">
          <x14:formula1>
            <xm:f>Dados!$A$38:$A$39</xm:f>
          </x14:formula1>
          <xm:sqref>H35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2FCF-C5E2-4AAC-9D7F-7FAAE415F0C7}">
  <sheetPr>
    <pageSetUpPr fitToPage="1"/>
  </sheetPr>
  <dimension ref="A1:W148"/>
  <sheetViews>
    <sheetView showGridLines="0" zoomScale="95" zoomScaleNormal="95" workbookViewId="0">
      <selection activeCell="I38" sqref="I38:J38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/>
      <c r="B5" s="178"/>
      <c r="C5" s="178"/>
      <c r="D5" s="177"/>
      <c r="E5" s="177"/>
      <c r="F5" s="177"/>
      <c r="G5" s="177"/>
      <c r="H5" s="171" t="e">
        <f>VLOOKUP(A5,TProfessores[],2,0)</f>
        <v>#N/A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e">
        <f>VLOOKUP(A5,TProfessores[],3,0)</f>
        <v>#N/A</v>
      </c>
      <c r="B8" s="172"/>
      <c r="C8" s="172"/>
      <c r="D8" s="171" t="e">
        <f>VLOOKUP(A5,TProfessores[],5,0)</f>
        <v>#N/A</v>
      </c>
      <c r="E8" s="172"/>
      <c r="F8" s="172"/>
      <c r="G8" s="173"/>
      <c r="H8" s="86" t="e">
        <f>VLOOKUP(A5,TProfessores[],7,0)</f>
        <v>#N/A</v>
      </c>
      <c r="I8" s="160" t="e">
        <f>VLOOKUP(A5,TProfessores[],6,0)</f>
        <v>#N/A</v>
      </c>
      <c r="J8" s="171" t="e">
        <f>VLOOKUP(A5,TProfessores[],8,0)</f>
        <v>#N/A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/>
      <c r="B12" s="181"/>
      <c r="C12" s="182"/>
      <c r="D12" s="183" t="str">
        <f>IFERROR(VLOOKUP(A12,TGradeCurricular[],2,0),"")</f>
        <v/>
      </c>
      <c r="E12" s="184"/>
      <c r="F12" s="183" t="str">
        <f>IFERROR(VLOOKUP(A12,TGradeCurricular[],3,0),"")</f>
        <v/>
      </c>
      <c r="G12" s="184"/>
      <c r="H12" s="73"/>
      <c r="I12" s="73"/>
      <c r="J12" s="180"/>
      <c r="K12" s="181"/>
      <c r="L12" s="2">
        <f t="shared" ref="L12:L21" si="0">SUM(H12:I12)</f>
        <v>0</v>
      </c>
      <c r="M12" s="3">
        <f t="shared" ref="M12:M21" si="1">IF(A12&lt;&gt;0,1,0)</f>
        <v>0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</v>
      </c>
      <c r="R12" s="54">
        <f t="shared" ref="R12:R21" si="5">IFERROR(_xlfn.IFS($M$32=1,L12,$M$32=2,L12,$M$32=3,(L12*1.3),$M$32&gt;3,(L12*1.5)),0)</f>
        <v>0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>
        <v>0</v>
      </c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IFERROR(VLOOKUP('Ef5'!$A23,'Grade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IFERROR(VLOOKUP('Ef5'!$A24,'Grade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IFERROR(VLOOKUP('Ef5'!$A25,'Grade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IFERROR(VLOOKUP('Ef5'!$A26,'Grade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IFERROR(VLOOKUP('Ef5'!$A27,'Grade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IFERROR(VLOOKUP('Ef5'!$A28,'Grade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IFERROR(VLOOKUP('Ef5'!$A29,'Grade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IFERROR(VLOOKUP('Ef5'!$A30,'Grade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IFERROR(VLOOKUP('Ef5'!$A31,'Grade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0</v>
      </c>
      <c r="M32" s="5">
        <f>SUM(M12:M31)</f>
        <v>0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0</v>
      </c>
      <c r="R32" s="101">
        <f t="shared" si="9"/>
        <v>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IFERROR(VLOOKUP('Ef5'!$D54,Tabela20[],2,0),0)</f>
        <v>0</v>
      </c>
      <c r="R54" s="54">
        <f>IFERROR(VLOOKUP('Ef5'!$D54,Tabela20[],3,0),0)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IFERROR(VLOOKUP('Ef5'!$D55,Tabela20[],2,0),0)</f>
        <v>0</v>
      </c>
      <c r="R55" s="54">
        <f>IFERROR(VLOOKUP('Ef5'!$D55,Tabela20[],3,0),0)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IFERROR(VLOOKUP('Ef5'!$D56,Tabela20[],2,0),0)</f>
        <v>0</v>
      </c>
      <c r="R56" s="54">
        <f>IFERROR(VLOOKUP('Ef5'!$D56,Tabela20[],3,0),0)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IFERROR(VLOOKUP('Ef5'!$D57,Tabela20[],2,0),0)</f>
        <v>0</v>
      </c>
      <c r="R57" s="54">
        <f>IFERROR(VLOOKUP('Ef5'!$D57,Tabela20[],3,0),0)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IFERROR(VLOOKUP('Ef5'!$D58,Tabela20[],2,0),0)</f>
        <v>0</v>
      </c>
      <c r="R58" s="54">
        <f>IFERROR(VLOOKUP('Ef5'!$D58,Tabela20[],3,0),0)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IFERROR(VLOOKUP('Ef5'!$D59,Tabela20[],2,0),0)</f>
        <v>0</v>
      </c>
      <c r="R59" s="54">
        <f>IFERROR(VLOOKUP('Ef5'!$D59,Tabela20[],3,0),0)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IFERROR(VLOOKUP('Ef5'!$D60,Tabela20[],2,0),0)</f>
        <v>0</v>
      </c>
      <c r="R60" s="54">
        <f>IFERROR(VLOOKUP('Ef5'!$D60,Tabela20[],3,0),0)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IFERROR(VLOOKUP('Ef5'!$D61,Tabela20[],2,0),0)</f>
        <v>0</v>
      </c>
      <c r="R61" s="54">
        <f>IFERROR(VLOOKUP('Ef5'!$D61,Tabela20[],3,0),0)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IFERROR(VLOOKUP('Ef5'!$D62,Tabela20[],2,0),0)</f>
        <v>0</v>
      </c>
      <c r="R62" s="54">
        <f>IFERROR(VLOOKUP('Ef5'!$D62,Tabela20[],3,0),0)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IFERROR(VLOOKUP('Ef5'!$D63,Tabela20[],2,0),0)</f>
        <v>0</v>
      </c>
      <c r="R63" s="54">
        <f>IFERROR(VLOOKUP('Ef5'!$D63,Tabela20[],3,0),0)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IFERROR(VLOOKUP('Ef5'!$D64,Tabela20[],2,0),0)</f>
        <v>0</v>
      </c>
      <c r="R64" s="114">
        <f>IFERROR(VLOOKUP('Ef5'!$D64,Tabela20[],3,0),0)</f>
        <v>0</v>
      </c>
    </row>
    <row r="65" spans="1:23" s="89" customFormat="1" hidden="1" x14ac:dyDescent="0.25">
      <c r="A65" s="89" t="s">
        <v>756</v>
      </c>
      <c r="F65" s="124">
        <f>SUM('Ef5'!$F$54:$F$64)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IFERROR(VLOOKUP('Ef5'!$D70,Tabela11[],2),0)</f>
        <v>0</v>
      </c>
      <c r="R70" s="54">
        <f>IFERROR(VLOOKUP('Ef5'!$D70,Tabela11[],3),0)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IFERROR(VLOOKUP('Ef5'!$D71,Tabela11[],2),0)</f>
        <v>0</v>
      </c>
      <c r="R71" s="54">
        <f>IFERROR(VLOOKUP('Ef5'!$D71,Tabela11[],3),0)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IFERROR(VLOOKUP('Ef5'!$D72,Tabela11[],2),0)</f>
        <v>0</v>
      </c>
      <c r="R72" s="54">
        <f>IFERROR(VLOOKUP('Ef5'!$D72,Tabela11[],3),0)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IFERROR(VLOOKUP('Ef5'!$D73,Tabela11[],2),0)</f>
        <v>0</v>
      </c>
      <c r="R73" s="54">
        <f>IFERROR(VLOOKUP('Ef5'!$D73,Tabela11[],3),0)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IFERROR(VLOOKUP('Ef5'!$D74,Tabela11[],2),0)</f>
        <v>0</v>
      </c>
      <c r="R74" s="54">
        <f>IFERROR(VLOOKUP('Ef5'!$D74,Tabela11[],3),0)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IFERROR(VLOOKUP('Ef5'!$D75,Tabela11[],2),0)</f>
        <v>0</v>
      </c>
      <c r="R75" s="54">
        <f>IFERROR(VLOOKUP('Ef5'!$D75,Tabela11[],3),0)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IFERROR(VLOOKUP('Ef5'!$D76,Tabela11[],2),0)</f>
        <v>0</v>
      </c>
      <c r="R76" s="54">
        <f>IFERROR(VLOOKUP('Ef5'!$D76,Tabela11[],3),0)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IFERROR(VLOOKUP('Ef5'!$D77,Tabela11[],2),0)</f>
        <v>0</v>
      </c>
      <c r="R77" s="54">
        <f>IFERROR(VLOOKUP('Ef5'!$D77,Tabela11[],3),0)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IFERROR(VLOOKUP('Ef5'!$D78,Tabela11[],2),0)</f>
        <v>0</v>
      </c>
      <c r="R78" s="54">
        <f>IFERROR(VLOOKUP('Ef5'!$D78,Tabela11[],3),0)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IFERROR(VLOOKUP('Ef5'!$D79,Tabela11[],2),0)</f>
        <v>0</v>
      </c>
      <c r="R79" s="54">
        <f>IFERROR(VLOOKUP('Ef5'!$D79,Tabela11[],3),0)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IFERROR(VLOOKUP('Ef5'!$D80,Tabela11[],2),0)</f>
        <v>0</v>
      </c>
      <c r="R80" s="114">
        <f>IFERROR(VLOOKUP('Ef5'!$D80,Tabela11[],3),0)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IFERROR(VLOOKUP('Ef5'!$D85,Tabela21[],2,0),0)</f>
        <v>0</v>
      </c>
      <c r="P85" s="54">
        <f>IFERROR(VLOOKUP('Ef5'!$D85,Tabela21[],3,0),0)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IFERROR(VLOOKUP('Ef5'!$D86,Tabela21[],2,0),0)</f>
        <v>0</v>
      </c>
      <c r="P86" s="54">
        <f>IFERROR(VLOOKUP('Ef5'!$D86,Tabela21[],3,0),0)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IFERROR(VLOOKUP('Ef5'!$D87,Tabela21[],2,0),0)</f>
        <v>0</v>
      </c>
      <c r="P87" s="54">
        <f>IFERROR(VLOOKUP('Ef5'!$D87,Tabela21[],3,0),0)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IFERROR(VLOOKUP('Ef5'!$D88,Tabela21[],2,0),0)</f>
        <v>0</v>
      </c>
      <c r="P88" s="54">
        <f>IFERROR(VLOOKUP('Ef5'!$D88,Tabela21[],3,0),0)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IFERROR(VLOOKUP('Ef5'!$D89,Tabela21[],2,0),0)</f>
        <v>0</v>
      </c>
      <c r="P89" s="54">
        <f>IFERROR(VLOOKUP('Ef5'!$D89,Tabela21[],3,0),0)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IFERROR(VLOOKUP('Ef5'!$D90,Tabela21[],2,0),0)</f>
        <v>0</v>
      </c>
      <c r="P90" s="54">
        <f>IFERROR(VLOOKUP('Ef5'!$D90,Tabela21[],3,0),0)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IFERROR(VLOOKUP('Ef5'!$D91,Tabela21[],2,0),0)</f>
        <v>0</v>
      </c>
      <c r="P91" s="54">
        <f>IFERROR(VLOOKUP('Ef5'!$D91,Tabela21[],3,0),0)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IFERROR(VLOOKUP('Ef5'!$D92,Tabela21[],2,0),0)</f>
        <v>0</v>
      </c>
      <c r="P92" s="54">
        <f>IFERROR(VLOOKUP('Ef5'!$D92,Tabela21[],3,0),0)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IFERROR(VLOOKUP('Ef5'!$D93,Tabela21[],2,0),0)</f>
        <v>0</v>
      </c>
      <c r="P93" s="54">
        <f>IFERROR(VLOOKUP('Ef5'!$D93,Tabela21[],3,0),0)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IFERROR(VLOOKUP('Ef5'!$D94,Tabela21[],2,0),0)</f>
        <v>0</v>
      </c>
      <c r="P94" s="54">
        <f>IFERROR(VLOOKUP('Ef5'!$D94,Tabela21[],3,0),0)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IFERROR(VLOOKUP('Ef5'!$D95,Tabela21[],2,0),0)</f>
        <v>0</v>
      </c>
      <c r="P95" s="54">
        <f>IFERROR(VLOOKUP('Ef5'!$D95,Tabela21[],3,0),0)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IFERROR(VLOOKUP('Ef5'!$D96,Tabela21[],2,0),0)</f>
        <v>0</v>
      </c>
      <c r="P96" s="54">
        <f>IFERROR(VLOOKUP('Ef5'!$D96,Tabela21[],3,0),0)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IFERROR(VLOOKUP('Ef5'!$D97,Tabela21[],2,0),0)</f>
        <v>0</v>
      </c>
      <c r="P97" s="136">
        <f>IFERROR(VLOOKUP('Ef5'!$D97,Tabela21[],3,0),0)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IFERROR(VLOOKUP('Ef5'!$A101,TFunçõesAdm[],3,0),40)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IFERROR(VLOOKUP('Ef5'!$A102,TFunçõesAdm[],3,0),40)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IFERROR(VLOOKUP('Ef5'!$A103,TFunçõesAdm[],3,0),40)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IFERROR(VLOOKUP('Ef5'!$A104,TFunçõesAdm[],3,0),40)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IFERROR(VLOOKUP('Ef5'!$A105,TFunçõesAdm[],3,0),40)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IFERROR(VLOOKUP('Ef5'!$A106,TFunçõesAdm[],3,0),40)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IFERROR(VLOOKUP('Ef5'!$A107,TFunçõesAdm[],3,0),40)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IFERROR(VLOOKUP('Ef5'!$A108,TFunçõesAdm[],3,0),40)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IFERROR(VLOOKUP('Ef5'!$A109,TFunçõesAdm[],3,0),40)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IFERROR(VLOOKUP('Ef5'!$A110,TFunçõesAdm[],3,0),40)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IFERROR(VLOOKUP('Ef5'!$A111,TFunçõesAdm[],3,0),40)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IFERROR(VLOOKUP('Ef5'!$A112,TFunçõesAdm[],3,0),40)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MIN('Ef5'!$L$101:$L$112)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SUM('Ef5'!$F$123:$F$124)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e">
        <f>VLOOKUP(H5,TChefeDpto[],2,0)</f>
        <v>#N/A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e">
        <f>A8</f>
        <v>#N/A</v>
      </c>
      <c r="B148" s="26">
        <f>A5</f>
        <v>0</v>
      </c>
      <c r="C148" s="26" t="e">
        <f>D8</f>
        <v>#N/A</v>
      </c>
      <c r="D148" s="70" t="e">
        <f>H8</f>
        <v>#N/A</v>
      </c>
      <c r="E148" s="70" t="e">
        <f>I8</f>
        <v>#N/A</v>
      </c>
      <c r="F148" s="71">
        <f>SUM(H12:I21)</f>
        <v>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0</v>
      </c>
    </row>
  </sheetData>
  <sheetProtection sheet="1"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108" priority="26">
      <formula>se+$A$134&lt;$L$35</formula>
    </cfRule>
    <cfRule type="cellIs" dxfId="107" priority="25" operator="lessThan">
      <formula>M35</formula>
    </cfRule>
  </conditionalFormatting>
  <conditionalFormatting sqref="B134">
    <cfRule type="expression" dxfId="106" priority="35">
      <formula>P32=1</formula>
    </cfRule>
  </conditionalFormatting>
  <conditionalFormatting sqref="E134">
    <cfRule type="expression" dxfId="105" priority="20">
      <formula>($E$134&gt;$L$68)</formula>
    </cfRule>
  </conditionalFormatting>
  <conditionalFormatting sqref="F54:F64">
    <cfRule type="cellIs" dxfId="104" priority="18" operator="greaterThan">
      <formula>R54</formula>
    </cfRule>
  </conditionalFormatting>
  <conditionalFormatting sqref="F101:F112">
    <cfRule type="cellIs" dxfId="103" priority="3" operator="notBetween">
      <formula>Q101</formula>
      <formula>R101</formula>
    </cfRule>
  </conditionalFormatting>
  <conditionalFormatting sqref="F70:G80">
    <cfRule type="cellIs" dxfId="102" priority="2" operator="notBetween">
      <formula>Q70</formula>
      <formula>R70</formula>
    </cfRule>
  </conditionalFormatting>
  <conditionalFormatting sqref="J12:J21">
    <cfRule type="expression" dxfId="101" priority="9">
      <formula>P12=1</formula>
    </cfRule>
  </conditionalFormatting>
  <conditionalFormatting sqref="J23:J31">
    <cfRule type="expression" dxfId="100" priority="1">
      <formula>P23=1</formula>
    </cfRule>
  </conditionalFormatting>
  <conditionalFormatting sqref="K37:K49">
    <cfRule type="expression" dxfId="99" priority="27">
      <formula>(K37&gt;R37)</formula>
    </cfRule>
  </conditionalFormatting>
  <conditionalFormatting sqref="K134">
    <cfRule type="cellIs" dxfId="98" priority="33" operator="notEqual">
      <formula>40</formula>
    </cfRule>
  </conditionalFormatting>
  <conditionalFormatting sqref="O85:P91">
    <cfRule type="expression" dxfId="97" priority="47">
      <formula>T82=1</formula>
    </cfRule>
  </conditionalFormatting>
  <conditionalFormatting sqref="O92:P92">
    <cfRule type="expression" dxfId="96" priority="54">
      <formula>T84=1</formula>
    </cfRule>
  </conditionalFormatting>
  <conditionalFormatting sqref="O93:P93">
    <cfRule type="expression" dxfId="95" priority="49">
      <formula>T84=1</formula>
    </cfRule>
  </conditionalFormatting>
  <conditionalFormatting sqref="O94:P94">
    <cfRule type="expression" dxfId="94" priority="48">
      <formula>T84=1</formula>
    </cfRule>
  </conditionalFormatting>
  <conditionalFormatting sqref="O95:P95">
    <cfRule type="expression" dxfId="93" priority="38">
      <formula>T84=1</formula>
    </cfRule>
  </conditionalFormatting>
  <conditionalFormatting sqref="O96:P96">
    <cfRule type="expression" dxfId="92" priority="21">
      <formula>T83=1</formula>
    </cfRule>
  </conditionalFormatting>
  <conditionalFormatting sqref="Q78:Q79">
    <cfRule type="expression" dxfId="91" priority="51">
      <formula>T68=1</formula>
    </cfRule>
  </conditionalFormatting>
  <conditionalFormatting sqref="Q80">
    <cfRule type="expression" dxfId="90" priority="43">
      <formula>S69=1</formula>
    </cfRule>
  </conditionalFormatting>
  <conditionalFormatting sqref="Q81">
    <cfRule type="expression" dxfId="89" priority="42">
      <formula>S69=1</formula>
    </cfRule>
  </conditionalFormatting>
  <conditionalFormatting sqref="Q37:R44">
    <cfRule type="expression" dxfId="88" priority="30">
      <formula>T34=1</formula>
    </cfRule>
  </conditionalFormatting>
  <conditionalFormatting sqref="Q45:R45">
    <cfRule type="expression" dxfId="87" priority="44">
      <formula>T37=1</formula>
    </cfRule>
  </conditionalFormatting>
  <conditionalFormatting sqref="Q46:R46">
    <cfRule type="expression" dxfId="86" priority="22">
      <formula>T37=1</formula>
    </cfRule>
  </conditionalFormatting>
  <conditionalFormatting sqref="Q47:R49">
    <cfRule type="expression" dxfId="85" priority="28">
      <formula>T37=1</formula>
    </cfRule>
  </conditionalFormatting>
  <conditionalFormatting sqref="Q54:R57">
    <cfRule type="expression" dxfId="84" priority="31">
      <formula>T51=1</formula>
    </cfRule>
  </conditionalFormatting>
  <conditionalFormatting sqref="Q58:R63">
    <cfRule type="expression" dxfId="83" priority="23">
      <formula>T52=1</formula>
    </cfRule>
  </conditionalFormatting>
  <conditionalFormatting sqref="Q64:R64">
    <cfRule type="expression" dxfId="82" priority="50">
      <formula>T53=1</formula>
    </cfRule>
  </conditionalFormatting>
  <conditionalFormatting sqref="Q70:R76">
    <cfRule type="expression" dxfId="81" priority="36">
      <formula>T66=1</formula>
    </cfRule>
  </conditionalFormatting>
  <conditionalFormatting sqref="Q77:R77">
    <cfRule type="expression" dxfId="80" priority="29">
      <formula>T68=1</formula>
    </cfRule>
  </conditionalFormatting>
  <conditionalFormatting sqref="Q101:R106 Q107:Q112 R109">
    <cfRule type="expression" dxfId="79" priority="39">
      <formula>T99=1</formula>
    </cfRule>
  </conditionalFormatting>
  <conditionalFormatting sqref="Q113:R113">
    <cfRule type="expression" dxfId="78" priority="34">
      <formula>#REF!=1</formula>
    </cfRule>
  </conditionalFormatting>
  <conditionalFormatting sqref="R78:R79">
    <cfRule type="expression" dxfId="77" priority="46">
      <formula>U67=1</formula>
    </cfRule>
  </conditionalFormatting>
  <conditionalFormatting sqref="R80">
    <cfRule type="expression" dxfId="76" priority="52">
      <formula>U67=1</formula>
    </cfRule>
  </conditionalFormatting>
  <conditionalFormatting sqref="R81">
    <cfRule type="expression" dxfId="75" priority="53">
      <formula>U69=1</formula>
    </cfRule>
  </conditionalFormatting>
  <conditionalFormatting sqref="R107:R108">
    <cfRule type="expression" dxfId="74" priority="55">
      <formula>U101=1</formula>
    </cfRule>
  </conditionalFormatting>
  <conditionalFormatting sqref="R110:R112">
    <cfRule type="expression" dxfId="73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9036455-0584-4126-BBBD-5A21FD71CE28}">
          <x14:formula1>
            <xm:f>Dados!$A$38:$A$39</xm:f>
          </x14:formula1>
          <xm:sqref>H35</xm:sqref>
        </x14:dataValidation>
        <x14:dataValidation type="list" allowBlank="1" showInputMessage="1" showErrorMessage="1" xr:uid="{B23BF7AB-2DD0-4A47-AFDC-40DCD38601DD}">
          <x14:formula1>
            <xm:f>Dados!$A$85:$A$90</xm:f>
          </x14:formula1>
          <xm:sqref>A37:A49</xm:sqref>
        </x14:dataValidation>
        <x14:dataValidation type="list" allowBlank="1" showInputMessage="1" showErrorMessage="1" xr:uid="{E14655EC-D0DC-4B3F-8942-BE5D10853007}">
          <x14:formula1>
            <xm:f>Dados!$A$95:$A$99</xm:f>
          </x14:formula1>
          <xm:sqref>D68</xm:sqref>
        </x14:dataValidation>
        <x14:dataValidation type="list" allowBlank="1" showInputMessage="1" showErrorMessage="1" xr:uid="{22DE1434-64EB-4CCD-99B1-C7213AACA39E}">
          <x14:formula1>
            <xm:f>Dados!$A$44:$A$78</xm:f>
          </x14:formula1>
          <xm:sqref>A101:A112</xm:sqref>
        </x14:dataValidation>
        <x14:dataValidation type="list" allowBlank="1" showInputMessage="1" showErrorMessage="1" xr:uid="{C60CB74B-1792-404F-B597-DBC07653C19C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F05D748D-9E53-4EC6-BEFA-076DFF52AB97}">
          <x14:formula1>
            <xm:f>Dados!$A$108:$A$109</xm:f>
          </x14:formula1>
          <xm:sqref>D54:D64</xm:sqref>
        </x14:dataValidation>
        <x14:dataValidation type="list" allowBlank="1" showInputMessage="1" showErrorMessage="1" xr:uid="{A70AA06C-A9F0-4F60-B31C-CD4B4EBB966E}">
          <x14:formula1>
            <xm:f>Profs!$A:$A</xm:f>
          </x14:formula1>
          <xm:sqref>A5</xm:sqref>
        </x14:dataValidation>
        <x14:dataValidation type="list" allowBlank="1" showInputMessage="1" showErrorMessage="1" xr:uid="{D1FA1DE9-98FF-417B-96F3-12191E2AAAB4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1A00B91A-16B1-4608-9285-039B6788241B}">
          <x14:formula1>
            <xm:f>'Grade Pós'!$A:$A</xm:f>
          </x14:formula1>
          <xm:sqref>A23:A31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BD4B4-10D6-4C23-AEE3-7F4330226863}">
  <sheetPr>
    <pageSetUpPr fitToPage="1"/>
  </sheetPr>
  <dimension ref="A1:W148"/>
  <sheetViews>
    <sheetView showGridLines="0" zoomScale="95" zoomScaleNormal="95" workbookViewId="0">
      <selection activeCell="I38" sqref="I38:J38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/>
      <c r="B5" s="178"/>
      <c r="C5" s="178"/>
      <c r="D5" s="177"/>
      <c r="E5" s="177"/>
      <c r="F5" s="177"/>
      <c r="G5" s="177"/>
      <c r="H5" s="171" t="e">
        <f>VLOOKUP(A5,TProfessores[],2,0)</f>
        <v>#N/A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e">
        <f>VLOOKUP(A5,TProfessores[],3,0)</f>
        <v>#N/A</v>
      </c>
      <c r="B8" s="172"/>
      <c r="C8" s="172"/>
      <c r="D8" s="171" t="e">
        <f>VLOOKUP(A5,TProfessores[],5,0)</f>
        <v>#N/A</v>
      </c>
      <c r="E8" s="172"/>
      <c r="F8" s="172"/>
      <c r="G8" s="173"/>
      <c r="H8" s="86" t="e">
        <f>VLOOKUP(A5,TProfessores[],7,0)</f>
        <v>#N/A</v>
      </c>
      <c r="I8" s="160" t="e">
        <f>VLOOKUP(A5,TProfessores[],6,0)</f>
        <v>#N/A</v>
      </c>
      <c r="J8" s="171" t="e">
        <f>VLOOKUP(A5,TProfessores[],8,0)</f>
        <v>#N/A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/>
      <c r="B12" s="181"/>
      <c r="C12" s="182"/>
      <c r="D12" s="183" t="str">
        <f>IFERROR(VLOOKUP(A12,TGradeCurricular[],2,0),"")</f>
        <v/>
      </c>
      <c r="E12" s="184"/>
      <c r="F12" s="183" t="str">
        <f>IFERROR(VLOOKUP(A12,TGradeCurricular[],3,0),"")</f>
        <v/>
      </c>
      <c r="G12" s="184"/>
      <c r="H12" s="73"/>
      <c r="I12" s="73"/>
      <c r="J12" s="180"/>
      <c r="K12" s="181"/>
      <c r="L12" s="2">
        <f t="shared" ref="L12:L21" si="0">SUM(H12:I12)</f>
        <v>0</v>
      </c>
      <c r="M12" s="3">
        <f t="shared" ref="M12:M21" si="1">IF(A12&lt;&gt;0,1,0)</f>
        <v>0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</v>
      </c>
      <c r="R12" s="54">
        <f t="shared" ref="R12:R21" si="5">IFERROR(_xlfn.IFS($M$32=1,L12,$M$32=2,L12,$M$32=3,(L12*1.3),$M$32&gt;3,(L12*1.5)),0)</f>
        <v>0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>
        <v>0</v>
      </c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IFERROR(VLOOKUP('Ef6'!$A23,'Grade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IFERROR(VLOOKUP('Ef6'!$A24,'Grade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IFERROR(VLOOKUP('Ef6'!$A25,'Grade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IFERROR(VLOOKUP('Ef6'!$A26,'Grade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IFERROR(VLOOKUP('Ef6'!$A27,'Grade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IFERROR(VLOOKUP('Ef6'!$A28,'Grade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IFERROR(VLOOKUP('Ef6'!$A29,'Grade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IFERROR(VLOOKUP('Ef6'!$A30,'Grade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IFERROR(VLOOKUP('Ef6'!$A31,'Grade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0</v>
      </c>
      <c r="M32" s="5">
        <f>SUM(M12:M31)</f>
        <v>0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0</v>
      </c>
      <c r="R32" s="101">
        <f t="shared" si="9"/>
        <v>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IFERROR(VLOOKUP('Ef6'!$D54,Tabela20[],2,0),0)</f>
        <v>0</v>
      </c>
      <c r="R54" s="54">
        <f>IFERROR(VLOOKUP('Ef6'!$D54,Tabela20[],3,0),0)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IFERROR(VLOOKUP('Ef6'!$D55,Tabela20[],2,0),0)</f>
        <v>0</v>
      </c>
      <c r="R55" s="54">
        <f>IFERROR(VLOOKUP('Ef6'!$D55,Tabela20[],3,0),0)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IFERROR(VLOOKUP('Ef6'!$D56,Tabela20[],2,0),0)</f>
        <v>0</v>
      </c>
      <c r="R56" s="54">
        <f>IFERROR(VLOOKUP('Ef6'!$D56,Tabela20[],3,0),0)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IFERROR(VLOOKUP('Ef6'!$D57,Tabela20[],2,0),0)</f>
        <v>0</v>
      </c>
      <c r="R57" s="54">
        <f>IFERROR(VLOOKUP('Ef6'!$D57,Tabela20[],3,0),0)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IFERROR(VLOOKUP('Ef6'!$D58,Tabela20[],2,0),0)</f>
        <v>0</v>
      </c>
      <c r="R58" s="54">
        <f>IFERROR(VLOOKUP('Ef6'!$D58,Tabela20[],3,0),0)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IFERROR(VLOOKUP('Ef6'!$D59,Tabela20[],2,0),0)</f>
        <v>0</v>
      </c>
      <c r="R59" s="54">
        <f>IFERROR(VLOOKUP('Ef6'!$D59,Tabela20[],3,0),0)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IFERROR(VLOOKUP('Ef6'!$D60,Tabela20[],2,0),0)</f>
        <v>0</v>
      </c>
      <c r="R60" s="54">
        <f>IFERROR(VLOOKUP('Ef6'!$D60,Tabela20[],3,0),0)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IFERROR(VLOOKUP('Ef6'!$D61,Tabela20[],2,0),0)</f>
        <v>0</v>
      </c>
      <c r="R61" s="54">
        <f>IFERROR(VLOOKUP('Ef6'!$D61,Tabela20[],3,0),0)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IFERROR(VLOOKUP('Ef6'!$D62,Tabela20[],2,0),0)</f>
        <v>0</v>
      </c>
      <c r="R62" s="54">
        <f>IFERROR(VLOOKUP('Ef6'!$D62,Tabela20[],3,0),0)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IFERROR(VLOOKUP('Ef6'!$D63,Tabela20[],2,0),0)</f>
        <v>0</v>
      </c>
      <c r="R63" s="54">
        <f>IFERROR(VLOOKUP('Ef6'!$D63,Tabela20[],3,0),0)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IFERROR(VLOOKUP('Ef6'!$D64,Tabela20[],2,0),0)</f>
        <v>0</v>
      </c>
      <c r="R64" s="114">
        <f>IFERROR(VLOOKUP('Ef6'!$D64,Tabela20[],3,0),0)</f>
        <v>0</v>
      </c>
    </row>
    <row r="65" spans="1:23" s="89" customFormat="1" hidden="1" x14ac:dyDescent="0.25">
      <c r="A65" s="89" t="s">
        <v>756</v>
      </c>
      <c r="F65" s="124">
        <f>SUM('Ef6'!$F$54:$F$64)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IFERROR(VLOOKUP('Ef6'!$D70,Tabela11[],2),0)</f>
        <v>0</v>
      </c>
      <c r="R70" s="54">
        <f>IFERROR(VLOOKUP('Ef6'!$D70,Tabela11[],3),0)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IFERROR(VLOOKUP('Ef6'!$D71,Tabela11[],2),0)</f>
        <v>0</v>
      </c>
      <c r="R71" s="54">
        <f>IFERROR(VLOOKUP('Ef6'!$D71,Tabela11[],3),0)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IFERROR(VLOOKUP('Ef6'!$D72,Tabela11[],2),0)</f>
        <v>0</v>
      </c>
      <c r="R72" s="54">
        <f>IFERROR(VLOOKUP('Ef6'!$D72,Tabela11[],3),0)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IFERROR(VLOOKUP('Ef6'!$D73,Tabela11[],2),0)</f>
        <v>0</v>
      </c>
      <c r="R73" s="54">
        <f>IFERROR(VLOOKUP('Ef6'!$D73,Tabela11[],3),0)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IFERROR(VLOOKUP('Ef6'!$D74,Tabela11[],2),0)</f>
        <v>0</v>
      </c>
      <c r="R74" s="54">
        <f>IFERROR(VLOOKUP('Ef6'!$D74,Tabela11[],3),0)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IFERROR(VLOOKUP('Ef6'!$D75,Tabela11[],2),0)</f>
        <v>0</v>
      </c>
      <c r="R75" s="54">
        <f>IFERROR(VLOOKUP('Ef6'!$D75,Tabela11[],3),0)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IFERROR(VLOOKUP('Ef6'!$D76,Tabela11[],2),0)</f>
        <v>0</v>
      </c>
      <c r="R76" s="54">
        <f>IFERROR(VLOOKUP('Ef6'!$D76,Tabela11[],3),0)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IFERROR(VLOOKUP('Ef6'!$D77,Tabela11[],2),0)</f>
        <v>0</v>
      </c>
      <c r="R77" s="54">
        <f>IFERROR(VLOOKUP('Ef6'!$D77,Tabela11[],3),0)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IFERROR(VLOOKUP('Ef6'!$D78,Tabela11[],2),0)</f>
        <v>0</v>
      </c>
      <c r="R78" s="54">
        <f>IFERROR(VLOOKUP('Ef6'!$D78,Tabela11[],3),0)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IFERROR(VLOOKUP('Ef6'!$D79,Tabela11[],2),0)</f>
        <v>0</v>
      </c>
      <c r="R79" s="54">
        <f>IFERROR(VLOOKUP('Ef6'!$D79,Tabela11[],3),0)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IFERROR(VLOOKUP('Ef6'!$D80,Tabela11[],2),0)</f>
        <v>0</v>
      </c>
      <c r="R80" s="114">
        <f>IFERROR(VLOOKUP('Ef6'!$D80,Tabela11[],3),0)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IFERROR(VLOOKUP('Ef6'!$D85,Tabela21[],2,0),0)</f>
        <v>0</v>
      </c>
      <c r="P85" s="54">
        <f>IFERROR(VLOOKUP('Ef6'!$D85,Tabela21[],3,0),0)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IFERROR(VLOOKUP('Ef6'!$D86,Tabela21[],2,0),0)</f>
        <v>0</v>
      </c>
      <c r="P86" s="54">
        <f>IFERROR(VLOOKUP('Ef6'!$D86,Tabela21[],3,0),0)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IFERROR(VLOOKUP('Ef6'!$D87,Tabela21[],2,0),0)</f>
        <v>0</v>
      </c>
      <c r="P87" s="54">
        <f>IFERROR(VLOOKUP('Ef6'!$D87,Tabela21[],3,0),0)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IFERROR(VLOOKUP('Ef6'!$D88,Tabela21[],2,0),0)</f>
        <v>0</v>
      </c>
      <c r="P88" s="54">
        <f>IFERROR(VLOOKUP('Ef6'!$D88,Tabela21[],3,0),0)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IFERROR(VLOOKUP('Ef6'!$D89,Tabela21[],2,0),0)</f>
        <v>0</v>
      </c>
      <c r="P89" s="54">
        <f>IFERROR(VLOOKUP('Ef6'!$D89,Tabela21[],3,0),0)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IFERROR(VLOOKUP('Ef6'!$D90,Tabela21[],2,0),0)</f>
        <v>0</v>
      </c>
      <c r="P90" s="54">
        <f>IFERROR(VLOOKUP('Ef6'!$D90,Tabela21[],3,0),0)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IFERROR(VLOOKUP('Ef6'!$D91,Tabela21[],2,0),0)</f>
        <v>0</v>
      </c>
      <c r="P91" s="54">
        <f>IFERROR(VLOOKUP('Ef6'!$D91,Tabela21[],3,0),0)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IFERROR(VLOOKUP('Ef6'!$D92,Tabela21[],2,0),0)</f>
        <v>0</v>
      </c>
      <c r="P92" s="54">
        <f>IFERROR(VLOOKUP('Ef6'!$D92,Tabela21[],3,0),0)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IFERROR(VLOOKUP('Ef6'!$D93,Tabela21[],2,0),0)</f>
        <v>0</v>
      </c>
      <c r="P93" s="54">
        <f>IFERROR(VLOOKUP('Ef6'!$D93,Tabela21[],3,0),0)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IFERROR(VLOOKUP('Ef6'!$D94,Tabela21[],2,0),0)</f>
        <v>0</v>
      </c>
      <c r="P94" s="54">
        <f>IFERROR(VLOOKUP('Ef6'!$D94,Tabela21[],3,0),0)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IFERROR(VLOOKUP('Ef6'!$D95,Tabela21[],2,0),0)</f>
        <v>0</v>
      </c>
      <c r="P95" s="54">
        <f>IFERROR(VLOOKUP('Ef6'!$D95,Tabela21[],3,0),0)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IFERROR(VLOOKUP('Ef6'!$D96,Tabela21[],2,0),0)</f>
        <v>0</v>
      </c>
      <c r="P96" s="54">
        <f>IFERROR(VLOOKUP('Ef6'!$D96,Tabela21[],3,0),0)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IFERROR(VLOOKUP('Ef6'!$D97,Tabela21[],2,0),0)</f>
        <v>0</v>
      </c>
      <c r="P97" s="136">
        <f>IFERROR(VLOOKUP('Ef6'!$D97,Tabela21[],3,0),0)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IFERROR(VLOOKUP('Ef6'!$A101,TFunçõesAdm[],3,0),40)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IFERROR(VLOOKUP('Ef6'!$A102,TFunçõesAdm[],3,0),40)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IFERROR(VLOOKUP('Ef6'!$A103,TFunçõesAdm[],3,0),40)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IFERROR(VLOOKUP('Ef6'!$A104,TFunçõesAdm[],3,0),40)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IFERROR(VLOOKUP('Ef6'!$A105,TFunçõesAdm[],3,0),40)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IFERROR(VLOOKUP('Ef6'!$A106,TFunçõesAdm[],3,0),40)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IFERROR(VLOOKUP('Ef6'!$A107,TFunçõesAdm[],3,0),40)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IFERROR(VLOOKUP('Ef6'!$A108,TFunçõesAdm[],3,0),40)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IFERROR(VLOOKUP('Ef6'!$A109,TFunçõesAdm[],3,0),40)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IFERROR(VLOOKUP('Ef6'!$A110,TFunçõesAdm[],3,0),40)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IFERROR(VLOOKUP('Ef6'!$A111,TFunçõesAdm[],3,0),40)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IFERROR(VLOOKUP('Ef6'!$A112,TFunçõesAdm[],3,0),40)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MIN('Ef6'!$L$101:$L$112)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SUM('Ef6'!$F$123:$F$124)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e">
        <f>VLOOKUP(H5,TChefeDpto[],2,0)</f>
        <v>#N/A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e">
        <f>A8</f>
        <v>#N/A</v>
      </c>
      <c r="B148" s="26">
        <f>A5</f>
        <v>0</v>
      </c>
      <c r="C148" s="26" t="e">
        <f>D8</f>
        <v>#N/A</v>
      </c>
      <c r="D148" s="70" t="e">
        <f>H8</f>
        <v>#N/A</v>
      </c>
      <c r="E148" s="70" t="e">
        <f>I8</f>
        <v>#N/A</v>
      </c>
      <c r="F148" s="71">
        <f>SUM(H12:I21)</f>
        <v>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0</v>
      </c>
    </row>
  </sheetData>
  <sheetProtection sheet="1"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72" priority="26">
      <formula>se+$A$134&lt;$L$35</formula>
    </cfRule>
    <cfRule type="cellIs" dxfId="71" priority="25" operator="lessThan">
      <formula>M35</formula>
    </cfRule>
  </conditionalFormatting>
  <conditionalFormatting sqref="B134">
    <cfRule type="expression" dxfId="70" priority="35">
      <formula>P32=1</formula>
    </cfRule>
  </conditionalFormatting>
  <conditionalFormatting sqref="E134">
    <cfRule type="expression" dxfId="69" priority="20">
      <formula>($E$134&gt;$L$68)</formula>
    </cfRule>
  </conditionalFormatting>
  <conditionalFormatting sqref="F54:F64">
    <cfRule type="cellIs" dxfId="68" priority="18" operator="greaterThan">
      <formula>R54</formula>
    </cfRule>
  </conditionalFormatting>
  <conditionalFormatting sqref="F101:F112">
    <cfRule type="cellIs" dxfId="67" priority="3" operator="notBetween">
      <formula>Q101</formula>
      <formula>R101</formula>
    </cfRule>
  </conditionalFormatting>
  <conditionalFormatting sqref="F70:G80">
    <cfRule type="cellIs" dxfId="66" priority="2" operator="notBetween">
      <formula>Q70</formula>
      <formula>R70</formula>
    </cfRule>
  </conditionalFormatting>
  <conditionalFormatting sqref="J12:J21">
    <cfRule type="expression" dxfId="65" priority="9">
      <formula>P12=1</formula>
    </cfRule>
  </conditionalFormatting>
  <conditionalFormatting sqref="J23:J31">
    <cfRule type="expression" dxfId="64" priority="1">
      <formula>P23=1</formula>
    </cfRule>
  </conditionalFormatting>
  <conditionalFormatting sqref="K37:K49">
    <cfRule type="expression" dxfId="63" priority="27">
      <formula>(K37&gt;R37)</formula>
    </cfRule>
  </conditionalFormatting>
  <conditionalFormatting sqref="K134">
    <cfRule type="cellIs" dxfId="62" priority="33" operator="notEqual">
      <formula>40</formula>
    </cfRule>
  </conditionalFormatting>
  <conditionalFormatting sqref="O85:P91">
    <cfRule type="expression" dxfId="61" priority="47">
      <formula>T82=1</formula>
    </cfRule>
  </conditionalFormatting>
  <conditionalFormatting sqref="O92:P92">
    <cfRule type="expression" dxfId="60" priority="54">
      <formula>T84=1</formula>
    </cfRule>
  </conditionalFormatting>
  <conditionalFormatting sqref="O93:P93">
    <cfRule type="expression" dxfId="59" priority="49">
      <formula>T84=1</formula>
    </cfRule>
  </conditionalFormatting>
  <conditionalFormatting sqref="O94:P94">
    <cfRule type="expression" dxfId="58" priority="48">
      <formula>T84=1</formula>
    </cfRule>
  </conditionalFormatting>
  <conditionalFormatting sqref="O95:P95">
    <cfRule type="expression" dxfId="57" priority="38">
      <formula>T84=1</formula>
    </cfRule>
  </conditionalFormatting>
  <conditionalFormatting sqref="O96:P96">
    <cfRule type="expression" dxfId="56" priority="21">
      <formula>T83=1</formula>
    </cfRule>
  </conditionalFormatting>
  <conditionalFormatting sqref="Q78:Q79">
    <cfRule type="expression" dxfId="55" priority="51">
      <formula>T68=1</formula>
    </cfRule>
  </conditionalFormatting>
  <conditionalFormatting sqref="Q80">
    <cfRule type="expression" dxfId="54" priority="43">
      <formula>S69=1</formula>
    </cfRule>
  </conditionalFormatting>
  <conditionalFormatting sqref="Q81">
    <cfRule type="expression" dxfId="53" priority="42">
      <formula>S69=1</formula>
    </cfRule>
  </conditionalFormatting>
  <conditionalFormatting sqref="Q37:R44">
    <cfRule type="expression" dxfId="52" priority="30">
      <formula>T34=1</formula>
    </cfRule>
  </conditionalFormatting>
  <conditionalFormatting sqref="Q45:R45">
    <cfRule type="expression" dxfId="51" priority="44">
      <formula>T37=1</formula>
    </cfRule>
  </conditionalFormatting>
  <conditionalFormatting sqref="Q46:R46">
    <cfRule type="expression" dxfId="50" priority="22">
      <formula>T37=1</formula>
    </cfRule>
  </conditionalFormatting>
  <conditionalFormatting sqref="Q47:R49">
    <cfRule type="expression" dxfId="49" priority="28">
      <formula>T37=1</formula>
    </cfRule>
  </conditionalFormatting>
  <conditionalFormatting sqref="Q54:R57">
    <cfRule type="expression" dxfId="48" priority="31">
      <formula>T51=1</formula>
    </cfRule>
  </conditionalFormatting>
  <conditionalFormatting sqref="Q58:R63">
    <cfRule type="expression" dxfId="47" priority="23">
      <formula>T52=1</formula>
    </cfRule>
  </conditionalFormatting>
  <conditionalFormatting sqref="Q64:R64">
    <cfRule type="expression" dxfId="46" priority="50">
      <formula>T53=1</formula>
    </cfRule>
  </conditionalFormatting>
  <conditionalFormatting sqref="Q70:R76">
    <cfRule type="expression" dxfId="45" priority="36">
      <formula>T66=1</formula>
    </cfRule>
  </conditionalFormatting>
  <conditionalFormatting sqref="Q77:R77">
    <cfRule type="expression" dxfId="44" priority="29">
      <formula>T68=1</formula>
    </cfRule>
  </conditionalFormatting>
  <conditionalFormatting sqref="Q101:R106 Q107:Q112 R109">
    <cfRule type="expression" dxfId="43" priority="39">
      <formula>T99=1</formula>
    </cfRule>
  </conditionalFormatting>
  <conditionalFormatting sqref="Q113:R113">
    <cfRule type="expression" dxfId="42" priority="34">
      <formula>#REF!=1</formula>
    </cfRule>
  </conditionalFormatting>
  <conditionalFormatting sqref="R78:R79">
    <cfRule type="expression" dxfId="41" priority="46">
      <formula>U67=1</formula>
    </cfRule>
  </conditionalFormatting>
  <conditionalFormatting sqref="R80">
    <cfRule type="expression" dxfId="40" priority="52">
      <formula>U67=1</formula>
    </cfRule>
  </conditionalFormatting>
  <conditionalFormatting sqref="R81">
    <cfRule type="expression" dxfId="39" priority="53">
      <formula>U69=1</formula>
    </cfRule>
  </conditionalFormatting>
  <conditionalFormatting sqref="R107:R108">
    <cfRule type="expression" dxfId="38" priority="55">
      <formula>U101=1</formula>
    </cfRule>
  </conditionalFormatting>
  <conditionalFormatting sqref="R110:R112">
    <cfRule type="expression" dxfId="37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F380D1DB-4B75-4328-BBD7-12B25D312187}">
          <x14:formula1>
            <xm:f>'Grade Pós'!$A:$A</xm:f>
          </x14:formula1>
          <xm:sqref>A23:A31</xm:sqref>
        </x14:dataValidation>
        <x14:dataValidation type="list" allowBlank="1" showInputMessage="1" showErrorMessage="1" xr:uid="{9404B6ED-9DD9-4D82-AAFC-BD4AB5D76FD6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0C52F9EC-D108-40C7-A1AB-BC209CC40FEE}">
          <x14:formula1>
            <xm:f>Profs!$A:$A</xm:f>
          </x14:formula1>
          <xm:sqref>A5</xm:sqref>
        </x14:dataValidation>
        <x14:dataValidation type="list" allowBlank="1" showInputMessage="1" showErrorMessage="1" xr:uid="{ABD9D8A3-2818-4046-903D-240E1433BC04}">
          <x14:formula1>
            <xm:f>Dados!$A$108:$A$109</xm:f>
          </x14:formula1>
          <xm:sqref>D54:D64</xm:sqref>
        </x14:dataValidation>
        <x14:dataValidation type="list" allowBlank="1" showInputMessage="1" showErrorMessage="1" xr:uid="{1395B4C0-0EAF-429C-9B3E-CA760024FB41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B45C4E2F-875C-40E8-BC29-74D2B1D13096}">
          <x14:formula1>
            <xm:f>Dados!$A$44:$A$78</xm:f>
          </x14:formula1>
          <xm:sqref>A101:A112</xm:sqref>
        </x14:dataValidation>
        <x14:dataValidation type="list" allowBlank="1" showInputMessage="1" showErrorMessage="1" xr:uid="{D9533B47-B441-4B84-A1B6-302D1DBD33EB}">
          <x14:formula1>
            <xm:f>Dados!$A$95:$A$99</xm:f>
          </x14:formula1>
          <xm:sqref>D68</xm:sqref>
        </x14:dataValidation>
        <x14:dataValidation type="list" allowBlank="1" showInputMessage="1" showErrorMessage="1" xr:uid="{C6D276D1-55E7-4538-B35A-FDBC6EED66DB}">
          <x14:formula1>
            <xm:f>Dados!$A$85:$A$90</xm:f>
          </x14:formula1>
          <xm:sqref>A37:A49</xm:sqref>
        </x14:dataValidation>
        <x14:dataValidation type="list" allowBlank="1" showInputMessage="1" showErrorMessage="1" xr:uid="{92696667-8A5E-413E-B498-FA229546B475}">
          <x14:formula1>
            <xm:f>Dados!$A$38:$A$39</xm:f>
          </x14:formula1>
          <xm:sqref>H35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E414E-3BF9-45E4-8738-21E3E1558459}">
  <sheetPr>
    <pageSetUpPr fitToPage="1"/>
  </sheetPr>
  <dimension ref="A1:W148"/>
  <sheetViews>
    <sheetView showGridLines="0" zoomScale="95" zoomScaleNormal="95" workbookViewId="0">
      <selection activeCell="A16" sqref="A16:C16"/>
    </sheetView>
  </sheetViews>
  <sheetFormatPr defaultRowHeight="15" x14ac:dyDescent="0.25"/>
  <cols>
    <col min="1" max="1" width="14.28515625" customWidth="1"/>
    <col min="2" max="2" width="11.7109375" customWidth="1"/>
    <col min="3" max="3" width="27.5703125" customWidth="1"/>
    <col min="4" max="4" width="24.7109375" customWidth="1"/>
    <col min="5" max="5" width="10.140625" customWidth="1"/>
    <col min="6" max="6" width="9.85546875" customWidth="1"/>
    <col min="7" max="7" width="10.85546875" customWidth="1"/>
    <col min="8" max="8" width="24.28515625" customWidth="1"/>
    <col min="9" max="9" width="19.140625" customWidth="1"/>
    <col min="10" max="10" width="14.5703125" customWidth="1"/>
    <col min="11" max="11" width="24.42578125" customWidth="1"/>
    <col min="12" max="12" width="24.5703125" style="77" hidden="1" customWidth="1"/>
    <col min="13" max="13" width="7.7109375" style="77" hidden="1" customWidth="1"/>
    <col min="14" max="14" width="14.85546875" hidden="1" customWidth="1"/>
    <col min="15" max="15" width="12.42578125" hidden="1" customWidth="1"/>
    <col min="16" max="16" width="28.42578125" hidden="1" customWidth="1"/>
    <col min="17" max="17" width="21.140625" customWidth="1"/>
    <col min="18" max="18" width="21.5703125" customWidth="1"/>
    <col min="22" max="22" width="23.7109375" style="78" customWidth="1"/>
    <col min="23" max="23" width="9.140625" customWidth="1"/>
    <col min="24" max="24" width="11" bestFit="1" customWidth="1"/>
  </cols>
  <sheetData>
    <row r="1" spans="1:22" x14ac:dyDescent="0.25">
      <c r="A1" s="174" t="s">
        <v>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R1" t="s">
        <v>74</v>
      </c>
    </row>
    <row r="2" spans="1:22" x14ac:dyDescent="0.25">
      <c r="A2" s="175" t="s">
        <v>10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R2" s="80"/>
      <c r="S2" t="s">
        <v>75</v>
      </c>
    </row>
    <row r="3" spans="1:22" x14ac:dyDescent="0.25">
      <c r="A3" s="175" t="s">
        <v>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N3" s="79"/>
      <c r="R3" s="81"/>
      <c r="S3" t="s">
        <v>76</v>
      </c>
    </row>
    <row r="4" spans="1:22" x14ac:dyDescent="0.25">
      <c r="A4" s="176" t="s">
        <v>11</v>
      </c>
      <c r="B4" s="176"/>
      <c r="C4" s="176"/>
      <c r="D4" s="177" t="s">
        <v>763</v>
      </c>
      <c r="E4" s="177"/>
      <c r="F4" s="177"/>
      <c r="G4" s="177"/>
      <c r="H4" s="168" t="s">
        <v>12</v>
      </c>
      <c r="I4" s="170"/>
      <c r="J4" s="177" t="s">
        <v>13</v>
      </c>
      <c r="K4" s="177"/>
      <c r="N4" s="79"/>
      <c r="R4" s="84"/>
      <c r="S4" t="s">
        <v>77</v>
      </c>
    </row>
    <row r="5" spans="1:22" x14ac:dyDescent="0.25">
      <c r="A5" s="178"/>
      <c r="B5" s="178"/>
      <c r="C5" s="178"/>
      <c r="D5" s="177"/>
      <c r="E5" s="177"/>
      <c r="F5" s="177"/>
      <c r="G5" s="177"/>
      <c r="H5" s="171" t="e">
        <f>VLOOKUP(A5,TProfessores[],2,0)</f>
        <v>#N/A</v>
      </c>
      <c r="I5" s="173"/>
      <c r="J5" s="177"/>
      <c r="K5" s="177"/>
    </row>
    <row r="7" spans="1:22" s="83" customFormat="1" x14ac:dyDescent="0.25">
      <c r="A7" s="168" t="s">
        <v>102</v>
      </c>
      <c r="B7" s="169"/>
      <c r="C7" s="169"/>
      <c r="D7" s="168" t="s">
        <v>14</v>
      </c>
      <c r="E7" s="169"/>
      <c r="F7" s="169"/>
      <c r="G7" s="170"/>
      <c r="H7" s="168" t="s">
        <v>15</v>
      </c>
      <c r="I7" s="170"/>
      <c r="J7" s="168" t="s">
        <v>16</v>
      </c>
      <c r="K7" s="170"/>
      <c r="L7" s="82"/>
      <c r="M7" s="82"/>
      <c r="V7" s="85"/>
    </row>
    <row r="8" spans="1:22" s="83" customFormat="1" x14ac:dyDescent="0.25">
      <c r="A8" s="171" t="e">
        <f>VLOOKUP(A5,TProfessores[],3,0)</f>
        <v>#N/A</v>
      </c>
      <c r="B8" s="172"/>
      <c r="C8" s="172"/>
      <c r="D8" s="171" t="e">
        <f>VLOOKUP(A5,TProfessores[],5,0)</f>
        <v>#N/A</v>
      </c>
      <c r="E8" s="172"/>
      <c r="F8" s="172"/>
      <c r="G8" s="173"/>
      <c r="H8" s="86" t="e">
        <f>VLOOKUP(A5,TProfessores[],7,0)</f>
        <v>#N/A</v>
      </c>
      <c r="I8" s="160" t="e">
        <f>VLOOKUP(A5,TProfessores[],6,0)</f>
        <v>#N/A</v>
      </c>
      <c r="J8" s="171" t="e">
        <f>VLOOKUP(A5,TProfessores[],8,0)</f>
        <v>#N/A</v>
      </c>
      <c r="K8" s="173"/>
      <c r="L8" s="82"/>
      <c r="M8" s="82"/>
      <c r="V8" s="85"/>
    </row>
    <row r="9" spans="1:22" x14ac:dyDescent="0.25">
      <c r="A9" s="87" t="s">
        <v>0</v>
      </c>
      <c r="B9" s="87"/>
      <c r="C9" s="87"/>
    </row>
    <row r="10" spans="1:22" s="83" customFormat="1" x14ac:dyDescent="0.25">
      <c r="A10" s="186" t="s">
        <v>18</v>
      </c>
      <c r="B10" s="187"/>
      <c r="C10" s="188"/>
      <c r="D10" s="186" t="s">
        <v>1</v>
      </c>
      <c r="E10" s="188"/>
      <c r="F10" s="192" t="s">
        <v>2</v>
      </c>
      <c r="G10" s="193"/>
      <c r="H10" s="196" t="s">
        <v>17</v>
      </c>
      <c r="I10" s="197"/>
      <c r="J10" s="198" t="s">
        <v>390</v>
      </c>
      <c r="K10" s="198"/>
      <c r="P10" s="91"/>
      <c r="Q10" s="179" t="s">
        <v>118</v>
      </c>
      <c r="R10" s="179" t="s">
        <v>790</v>
      </c>
      <c r="V10" s="85"/>
    </row>
    <row r="11" spans="1:22" s="83" customFormat="1" x14ac:dyDescent="0.25">
      <c r="A11" s="189"/>
      <c r="B11" s="190"/>
      <c r="C11" s="191"/>
      <c r="D11" s="189"/>
      <c r="E11" s="191"/>
      <c r="F11" s="194"/>
      <c r="G11" s="195"/>
      <c r="H11" s="92" t="s">
        <v>4</v>
      </c>
      <c r="I11" s="92" t="s">
        <v>3</v>
      </c>
      <c r="J11" s="198"/>
      <c r="K11" s="199"/>
      <c r="L11" s="55" t="s">
        <v>5</v>
      </c>
      <c r="M11" s="56" t="s">
        <v>7</v>
      </c>
      <c r="N11" s="152" t="s">
        <v>30</v>
      </c>
      <c r="O11" s="152" t="s">
        <v>626</v>
      </c>
      <c r="P11" s="152" t="s">
        <v>31</v>
      </c>
      <c r="Q11" s="179"/>
      <c r="R11" s="179"/>
      <c r="V11" s="85"/>
    </row>
    <row r="12" spans="1:22" ht="15" customHeight="1" x14ac:dyDescent="0.25">
      <c r="A12" s="180"/>
      <c r="B12" s="181"/>
      <c r="C12" s="182"/>
      <c r="D12" s="183" t="str">
        <f>IFERROR(VLOOKUP(A12,TGradeCurricular[],2,0),"")</f>
        <v/>
      </c>
      <c r="E12" s="184"/>
      <c r="F12" s="183" t="str">
        <f>IFERROR(VLOOKUP(A12,TGradeCurricular[],3,0),"")</f>
        <v/>
      </c>
      <c r="G12" s="184"/>
      <c r="H12" s="73"/>
      <c r="I12" s="73"/>
      <c r="J12" s="180"/>
      <c r="K12" s="181"/>
      <c r="L12" s="2">
        <f t="shared" ref="L12:L21" si="0">SUM(H12:I12)</f>
        <v>0</v>
      </c>
      <c r="M12" s="3">
        <f t="shared" ref="M12:M21" si="1">IF(A12&lt;&gt;0,1,0)</f>
        <v>0</v>
      </c>
      <c r="N12" s="3">
        <f t="shared" ref="N12:N21" si="2">IF(J12&lt;Q12,1,0)</f>
        <v>0</v>
      </c>
      <c r="O12" s="3">
        <f t="shared" ref="O12:O21" si="3">IF(J12&gt;R12,1,0)</f>
        <v>0</v>
      </c>
      <c r="P12" s="3">
        <f>SUM(N12:O12)</f>
        <v>0</v>
      </c>
      <c r="Q12" s="52">
        <f t="shared" ref="Q12:Q21" si="4">L12*0.5</f>
        <v>0</v>
      </c>
      <c r="R12" s="54">
        <f t="shared" ref="R12:R21" si="5">IFERROR(_xlfn.IFS($M$32=1,L12,$M$32=2,L12,$M$32=3,(L12*1.3),$M$32&gt;3,(L12*1.5)),0)</f>
        <v>0</v>
      </c>
    </row>
    <row r="13" spans="1:22" ht="15" customHeight="1" x14ac:dyDescent="0.25">
      <c r="A13" s="180"/>
      <c r="B13" s="181"/>
      <c r="C13" s="182"/>
      <c r="D13" s="183" t="str">
        <f>IFERROR(VLOOKUP(A13,TGradeCurricular[],2,0),"")</f>
        <v/>
      </c>
      <c r="E13" s="184"/>
      <c r="F13" s="183" t="str">
        <f>IFERROR(VLOOKUP(A13,TGradeCurricular[],3,0),"")</f>
        <v/>
      </c>
      <c r="G13" s="184"/>
      <c r="H13" s="73"/>
      <c r="I13" s="73"/>
      <c r="J13" s="185">
        <v>0</v>
      </c>
      <c r="K13" s="180"/>
      <c r="L13" s="2">
        <f t="shared" si="0"/>
        <v>0</v>
      </c>
      <c r="M13" s="3">
        <f t="shared" si="1"/>
        <v>0</v>
      </c>
      <c r="N13" s="3">
        <f t="shared" si="2"/>
        <v>0</v>
      </c>
      <c r="O13" s="3">
        <f t="shared" si="3"/>
        <v>0</v>
      </c>
      <c r="P13" s="3">
        <f t="shared" ref="P13:P21" si="6">SUM(N13:O13)</f>
        <v>0</v>
      </c>
      <c r="Q13" s="52">
        <f t="shared" si="4"/>
        <v>0</v>
      </c>
      <c r="R13" s="54">
        <f t="shared" si="5"/>
        <v>0</v>
      </c>
    </row>
    <row r="14" spans="1:22" ht="15" customHeight="1" x14ac:dyDescent="0.25">
      <c r="A14" s="180"/>
      <c r="B14" s="181"/>
      <c r="C14" s="182"/>
      <c r="D14" s="183" t="str">
        <f>IFERROR(VLOOKUP(A14,TGradeCurricular[],2,0),"")</f>
        <v/>
      </c>
      <c r="E14" s="184"/>
      <c r="F14" s="183" t="str">
        <f>IFERROR(VLOOKUP(A14,TGradeCurricular[],3,0),"")</f>
        <v/>
      </c>
      <c r="G14" s="184"/>
      <c r="H14" s="73"/>
      <c r="I14" s="73"/>
      <c r="J14" s="185"/>
      <c r="K14" s="180"/>
      <c r="L14" s="2">
        <f t="shared" si="0"/>
        <v>0</v>
      </c>
      <c r="M14" s="3">
        <f t="shared" si="1"/>
        <v>0</v>
      </c>
      <c r="N14" s="3">
        <f t="shared" si="2"/>
        <v>0</v>
      </c>
      <c r="O14" s="3">
        <f t="shared" si="3"/>
        <v>0</v>
      </c>
      <c r="P14" s="3">
        <f t="shared" si="6"/>
        <v>0</v>
      </c>
      <c r="Q14" s="52">
        <f t="shared" si="4"/>
        <v>0</v>
      </c>
      <c r="R14" s="54">
        <f t="shared" si="5"/>
        <v>0</v>
      </c>
    </row>
    <row r="15" spans="1:22" x14ac:dyDescent="0.25">
      <c r="A15" s="180"/>
      <c r="B15" s="181"/>
      <c r="C15" s="182"/>
      <c r="D15" s="183" t="str">
        <f>IFERROR(VLOOKUP(A15,TGradeCurricular[],2,0),"")</f>
        <v/>
      </c>
      <c r="E15" s="184"/>
      <c r="F15" s="183" t="str">
        <f>IFERROR(VLOOKUP(A15,TGradeCurricular[],3,0),"")</f>
        <v/>
      </c>
      <c r="G15" s="184"/>
      <c r="H15" s="73"/>
      <c r="I15" s="73"/>
      <c r="J15" s="185"/>
      <c r="K15" s="180"/>
      <c r="L15" s="2">
        <f t="shared" si="0"/>
        <v>0</v>
      </c>
      <c r="M15" s="3">
        <f t="shared" si="1"/>
        <v>0</v>
      </c>
      <c r="N15" s="3">
        <f t="shared" si="2"/>
        <v>0</v>
      </c>
      <c r="O15" s="3">
        <f t="shared" si="3"/>
        <v>0</v>
      </c>
      <c r="P15" s="3">
        <f>SUM(N15:O15)</f>
        <v>0</v>
      </c>
      <c r="Q15" s="52">
        <f t="shared" si="4"/>
        <v>0</v>
      </c>
      <c r="R15" s="54">
        <f t="shared" si="5"/>
        <v>0</v>
      </c>
    </row>
    <row r="16" spans="1:22" x14ac:dyDescent="0.25">
      <c r="A16" s="180"/>
      <c r="B16" s="181"/>
      <c r="C16" s="182"/>
      <c r="D16" s="183" t="str">
        <f>IFERROR(VLOOKUP(A16,TGradeCurricular[],2,0),"")</f>
        <v/>
      </c>
      <c r="E16" s="184"/>
      <c r="F16" s="183" t="str">
        <f>IFERROR(VLOOKUP(A16,TGradeCurricular[],3,0),"")</f>
        <v/>
      </c>
      <c r="G16" s="184"/>
      <c r="H16" s="73"/>
      <c r="I16" s="73"/>
      <c r="J16" s="185"/>
      <c r="K16" s="180"/>
      <c r="L16" s="2">
        <f t="shared" si="0"/>
        <v>0</v>
      </c>
      <c r="M16" s="3">
        <f t="shared" si="1"/>
        <v>0</v>
      </c>
      <c r="N16" s="3">
        <f t="shared" si="2"/>
        <v>0</v>
      </c>
      <c r="O16" s="3">
        <f t="shared" si="3"/>
        <v>0</v>
      </c>
      <c r="P16" s="3">
        <f t="shared" ref="P16:P17" si="7">SUM(N16:O16)</f>
        <v>0</v>
      </c>
      <c r="Q16" s="52">
        <f t="shared" si="4"/>
        <v>0</v>
      </c>
      <c r="R16" s="54">
        <f t="shared" si="5"/>
        <v>0</v>
      </c>
    </row>
    <row r="17" spans="1:22" x14ac:dyDescent="0.25">
      <c r="A17" s="180"/>
      <c r="B17" s="181"/>
      <c r="C17" s="182"/>
      <c r="D17" s="183" t="str">
        <f>IFERROR(VLOOKUP(A17,TGradeCurricular[],2,0),"")</f>
        <v/>
      </c>
      <c r="E17" s="184"/>
      <c r="F17" s="183" t="str">
        <f>IFERROR(VLOOKUP(A17,TGradeCurricular[],3,0),"")</f>
        <v/>
      </c>
      <c r="G17" s="184"/>
      <c r="H17" s="73"/>
      <c r="I17" s="73"/>
      <c r="J17" s="185"/>
      <c r="K17" s="180"/>
      <c r="L17" s="2">
        <f t="shared" si="0"/>
        <v>0</v>
      </c>
      <c r="M17" s="3">
        <f t="shared" si="1"/>
        <v>0</v>
      </c>
      <c r="N17" s="3">
        <f t="shared" si="2"/>
        <v>0</v>
      </c>
      <c r="O17" s="3">
        <f t="shared" si="3"/>
        <v>0</v>
      </c>
      <c r="P17" s="3">
        <f t="shared" si="7"/>
        <v>0</v>
      </c>
      <c r="Q17" s="52">
        <f t="shared" si="4"/>
        <v>0</v>
      </c>
      <c r="R17" s="54">
        <f t="shared" si="5"/>
        <v>0</v>
      </c>
    </row>
    <row r="18" spans="1:22" x14ac:dyDescent="0.25">
      <c r="A18" s="180"/>
      <c r="B18" s="181"/>
      <c r="C18" s="182"/>
      <c r="D18" s="183" t="str">
        <f>IFERROR(VLOOKUP(A18,TGradeCurricular[],2,0),"")</f>
        <v/>
      </c>
      <c r="E18" s="184"/>
      <c r="F18" s="183" t="str">
        <f>IFERROR(VLOOKUP(A18,TGradeCurricular[],3,0),"")</f>
        <v/>
      </c>
      <c r="G18" s="184"/>
      <c r="H18" s="73"/>
      <c r="I18" s="73"/>
      <c r="J18" s="185"/>
      <c r="K18" s="180"/>
      <c r="L18" s="2">
        <f>SUM(H18:I18)</f>
        <v>0</v>
      </c>
      <c r="M18" s="3">
        <f>IF(A18&lt;&gt;0,1,0)</f>
        <v>0</v>
      </c>
      <c r="N18" s="3">
        <f>IF(J18&lt;Q18,1,0)</f>
        <v>0</v>
      </c>
      <c r="O18" s="3">
        <f>IF(J18&gt;R18,1,0)</f>
        <v>0</v>
      </c>
      <c r="P18" s="3">
        <f>SUM(N18:O18)</f>
        <v>0</v>
      </c>
      <c r="Q18" s="52">
        <f>L18*0.5</f>
        <v>0</v>
      </c>
      <c r="R18" s="54">
        <f t="shared" si="5"/>
        <v>0</v>
      </c>
    </row>
    <row r="19" spans="1:22" x14ac:dyDescent="0.25">
      <c r="A19" s="180"/>
      <c r="B19" s="181"/>
      <c r="C19" s="182"/>
      <c r="D19" s="183" t="str">
        <f>IFERROR(VLOOKUP(A19,TGradeCurricular[],2,0),"")</f>
        <v/>
      </c>
      <c r="E19" s="184"/>
      <c r="F19" s="183" t="str">
        <f>IFERROR(VLOOKUP(A19,TGradeCurricular[],3,0),"")</f>
        <v/>
      </c>
      <c r="G19" s="184"/>
      <c r="H19" s="73"/>
      <c r="I19" s="73"/>
      <c r="J19" s="185"/>
      <c r="K19" s="180"/>
      <c r="L19" s="2">
        <f t="shared" si="0"/>
        <v>0</v>
      </c>
      <c r="M19" s="3">
        <f t="shared" si="1"/>
        <v>0</v>
      </c>
      <c r="N19" s="3">
        <f t="shared" si="2"/>
        <v>0</v>
      </c>
      <c r="O19" s="3">
        <f t="shared" si="3"/>
        <v>0</v>
      </c>
      <c r="P19" s="3">
        <f t="shared" si="6"/>
        <v>0</v>
      </c>
      <c r="Q19" s="52">
        <f t="shared" si="4"/>
        <v>0</v>
      </c>
      <c r="R19" s="54">
        <f t="shared" si="5"/>
        <v>0</v>
      </c>
    </row>
    <row r="20" spans="1:22" x14ac:dyDescent="0.25">
      <c r="A20" s="180"/>
      <c r="B20" s="181"/>
      <c r="C20" s="182"/>
      <c r="D20" s="183" t="str">
        <f>IFERROR(VLOOKUP(A20,TGradeCurricular[],2,0),"")</f>
        <v/>
      </c>
      <c r="E20" s="184"/>
      <c r="F20" s="183" t="str">
        <f>IFERROR(VLOOKUP(A20,TGradeCurricular[],3,0),"")</f>
        <v/>
      </c>
      <c r="G20" s="184"/>
      <c r="H20" s="73"/>
      <c r="I20" s="73"/>
      <c r="J20" s="185"/>
      <c r="K20" s="180"/>
      <c r="L20" s="2">
        <f t="shared" si="0"/>
        <v>0</v>
      </c>
      <c r="M20" s="3">
        <f t="shared" si="1"/>
        <v>0</v>
      </c>
      <c r="N20" s="3">
        <f t="shared" si="2"/>
        <v>0</v>
      </c>
      <c r="O20" s="3">
        <f t="shared" si="3"/>
        <v>0</v>
      </c>
      <c r="P20" s="3">
        <f t="shared" si="6"/>
        <v>0</v>
      </c>
      <c r="Q20" s="52">
        <f t="shared" si="4"/>
        <v>0</v>
      </c>
      <c r="R20" s="54">
        <f t="shared" si="5"/>
        <v>0</v>
      </c>
    </row>
    <row r="21" spans="1:22" x14ac:dyDescent="0.25">
      <c r="A21" s="180"/>
      <c r="B21" s="181"/>
      <c r="C21" s="182"/>
      <c r="D21" s="183" t="str">
        <f>IFERROR(VLOOKUP(A21,TGradeCurricular[],2,0),"")</f>
        <v/>
      </c>
      <c r="E21" s="184"/>
      <c r="F21" s="183" t="str">
        <f>IFERROR(VLOOKUP(A21,TGradeCurricular[],3,0),"")</f>
        <v/>
      </c>
      <c r="G21" s="184"/>
      <c r="H21" s="154"/>
      <c r="I21" s="154"/>
      <c r="J21" s="185"/>
      <c r="K21" s="180"/>
      <c r="L21" s="4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6"/>
        <v>0</v>
      </c>
      <c r="Q21" s="53">
        <f t="shared" si="4"/>
        <v>0</v>
      </c>
      <c r="R21" s="57">
        <f t="shared" si="5"/>
        <v>0</v>
      </c>
    </row>
    <row r="22" spans="1:22" s="83" customFormat="1" x14ac:dyDescent="0.25">
      <c r="A22" s="201" t="s">
        <v>19</v>
      </c>
      <c r="B22" s="202"/>
      <c r="C22" s="203"/>
      <c r="D22" s="196" t="s">
        <v>20</v>
      </c>
      <c r="E22" s="204"/>
      <c r="F22" s="204"/>
      <c r="G22" s="204"/>
      <c r="H22" s="204" t="s">
        <v>21</v>
      </c>
      <c r="I22" s="197"/>
      <c r="J22" s="196" t="s">
        <v>22</v>
      </c>
      <c r="K22" s="204"/>
      <c r="L22" s="90"/>
      <c r="M22" s="56"/>
      <c r="N22" s="90"/>
      <c r="O22" s="90"/>
      <c r="P22" s="90"/>
      <c r="Q22" s="93"/>
      <c r="R22" s="94"/>
      <c r="V22" s="85"/>
    </row>
    <row r="23" spans="1:22" ht="30.75" customHeight="1" x14ac:dyDescent="0.25">
      <c r="A23" s="180"/>
      <c r="B23" s="181"/>
      <c r="C23" s="182"/>
      <c r="D23" s="183" t="str">
        <f>IFERROR(VLOOKUP('Ef7'!$A23,'Grade Pós'!A:B,2,0),"")</f>
        <v/>
      </c>
      <c r="E23" s="200"/>
      <c r="F23" s="200"/>
      <c r="G23" s="184"/>
      <c r="H23" s="180"/>
      <c r="I23" s="182"/>
      <c r="J23" s="185"/>
      <c r="K23" s="185"/>
      <c r="L23" s="2">
        <f>SUM(H23:I23)</f>
        <v>0</v>
      </c>
      <c r="M23" s="3">
        <f>IF(A23&lt;&gt;0,1,0)</f>
        <v>0</v>
      </c>
      <c r="N23" s="95">
        <f>IF(J23&lt;Q23,1,0)</f>
        <v>0</v>
      </c>
      <c r="O23" s="95">
        <f>IF(J23&gt;R23,1,0)</f>
        <v>0</v>
      </c>
      <c r="P23" s="95">
        <f>SUM(N23:O23)</f>
        <v>0</v>
      </c>
      <c r="Q23" s="52">
        <f t="shared" ref="Q23:Q30" si="8">L23*0.5</f>
        <v>0</v>
      </c>
      <c r="R23" s="54">
        <f t="shared" ref="R23:R32" si="9">IFERROR(_xlfn.IFS($M$32=1,L23,$M$32=2,L23,$M$32=3,(L23*1.3),$M$32&gt;3,(L23*1.5)),0)</f>
        <v>0</v>
      </c>
    </row>
    <row r="24" spans="1:22" ht="26.25" customHeight="1" x14ac:dyDescent="0.25">
      <c r="A24" s="180"/>
      <c r="B24" s="181"/>
      <c r="C24" s="182"/>
      <c r="D24" s="183" t="str">
        <f>IFERROR(VLOOKUP('Ef7'!$A24,'Grade Pós'!A:B,2,0),"")</f>
        <v/>
      </c>
      <c r="E24" s="200"/>
      <c r="F24" s="200"/>
      <c r="G24" s="184"/>
      <c r="H24" s="180"/>
      <c r="I24" s="182"/>
      <c r="J24" s="180"/>
      <c r="K24" s="182"/>
      <c r="L24" s="2">
        <f>SUM(H24:I24)</f>
        <v>0</v>
      </c>
      <c r="M24" s="3">
        <f>IF(A24&lt;&gt;0,1,0)</f>
        <v>0</v>
      </c>
      <c r="N24" s="95">
        <f>IF(J24&lt;Q24,1,0)</f>
        <v>0</v>
      </c>
      <c r="O24" s="95">
        <f>IF(J24&gt;R24,1,0)</f>
        <v>0</v>
      </c>
      <c r="P24" s="95">
        <f>SUM(N24:O24)</f>
        <v>0</v>
      </c>
      <c r="Q24" s="52">
        <f>L24*0.5</f>
        <v>0</v>
      </c>
      <c r="R24" s="54">
        <f t="shared" si="9"/>
        <v>0</v>
      </c>
    </row>
    <row r="25" spans="1:22" x14ac:dyDescent="0.25">
      <c r="A25" s="180"/>
      <c r="B25" s="181"/>
      <c r="C25" s="182"/>
      <c r="D25" s="183" t="str">
        <f>IFERROR(VLOOKUP('Ef7'!$A25,'Grade Pós'!A:B,2,0),"")</f>
        <v/>
      </c>
      <c r="E25" s="200"/>
      <c r="F25" s="200"/>
      <c r="G25" s="184"/>
      <c r="H25" s="180"/>
      <c r="I25" s="182"/>
      <c r="J25" s="180"/>
      <c r="K25" s="182"/>
      <c r="L25" s="2">
        <f t="shared" ref="L25:L27" si="10">SUM(H25:I25)</f>
        <v>0</v>
      </c>
      <c r="M25" s="3">
        <f t="shared" ref="M25:M27" si="11">IF(A25&lt;&gt;0,1,0)</f>
        <v>0</v>
      </c>
      <c r="N25" s="95">
        <f t="shared" ref="N25:N27" si="12">IF(J25&lt;Q25,1,0)</f>
        <v>0</v>
      </c>
      <c r="O25" s="95">
        <f t="shared" ref="O25:O27" si="13">IF(J25&gt;R25,1,0)</f>
        <v>0</v>
      </c>
      <c r="P25" s="95">
        <f t="shared" ref="P25:P27" si="14">SUM(N25:O25)</f>
        <v>0</v>
      </c>
      <c r="Q25" s="52">
        <f t="shared" ref="Q25:Q27" si="15">L25*0.5</f>
        <v>0</v>
      </c>
      <c r="R25" s="54">
        <f t="shared" si="9"/>
        <v>0</v>
      </c>
    </row>
    <row r="26" spans="1:22" x14ac:dyDescent="0.25">
      <c r="A26" s="180"/>
      <c r="B26" s="181"/>
      <c r="C26" s="182"/>
      <c r="D26" s="183" t="str">
        <f>IFERROR(VLOOKUP('Ef7'!$A26,'Grade Pós'!A:B,2,0),"")</f>
        <v/>
      </c>
      <c r="E26" s="200"/>
      <c r="F26" s="200"/>
      <c r="G26" s="184"/>
      <c r="H26" s="180"/>
      <c r="I26" s="182"/>
      <c r="J26" s="180"/>
      <c r="K26" s="182"/>
      <c r="L26" s="2">
        <f t="shared" si="10"/>
        <v>0</v>
      </c>
      <c r="M26" s="3">
        <f t="shared" si="11"/>
        <v>0</v>
      </c>
      <c r="N26" s="95">
        <f t="shared" si="12"/>
        <v>0</v>
      </c>
      <c r="O26" s="95">
        <f t="shared" si="13"/>
        <v>0</v>
      </c>
      <c r="P26" s="95">
        <f t="shared" si="14"/>
        <v>0</v>
      </c>
      <c r="Q26" s="52">
        <f t="shared" si="15"/>
        <v>0</v>
      </c>
      <c r="R26" s="54">
        <f t="shared" si="9"/>
        <v>0</v>
      </c>
    </row>
    <row r="27" spans="1:22" x14ac:dyDescent="0.25">
      <c r="A27" s="180"/>
      <c r="B27" s="181"/>
      <c r="C27" s="182"/>
      <c r="D27" s="183" t="str">
        <f>IFERROR(VLOOKUP('Ef7'!$A27,'Grade Pós'!A:B,2,0),"")</f>
        <v/>
      </c>
      <c r="E27" s="200"/>
      <c r="F27" s="200"/>
      <c r="G27" s="184"/>
      <c r="H27" s="180"/>
      <c r="I27" s="182"/>
      <c r="J27" s="180"/>
      <c r="K27" s="182"/>
      <c r="L27" s="2">
        <f t="shared" si="10"/>
        <v>0</v>
      </c>
      <c r="M27" s="3">
        <f t="shared" si="11"/>
        <v>0</v>
      </c>
      <c r="N27" s="95">
        <f t="shared" si="12"/>
        <v>0</v>
      </c>
      <c r="O27" s="95">
        <f t="shared" si="13"/>
        <v>0</v>
      </c>
      <c r="P27" s="95">
        <f t="shared" si="14"/>
        <v>0</v>
      </c>
      <c r="Q27" s="52">
        <f t="shared" si="15"/>
        <v>0</v>
      </c>
      <c r="R27" s="54">
        <f t="shared" si="9"/>
        <v>0</v>
      </c>
    </row>
    <row r="28" spans="1:22" x14ac:dyDescent="0.25">
      <c r="A28" s="180"/>
      <c r="B28" s="181"/>
      <c r="C28" s="182"/>
      <c r="D28" s="183" t="str">
        <f>IFERROR(VLOOKUP('Ef7'!$A28,'Grade Pós'!A:B,2,0),"")</f>
        <v/>
      </c>
      <c r="E28" s="200"/>
      <c r="F28" s="200"/>
      <c r="G28" s="184"/>
      <c r="H28" s="180"/>
      <c r="I28" s="182"/>
      <c r="J28" s="180"/>
      <c r="K28" s="182"/>
      <c r="L28" s="2">
        <f>SUM(H28:I28)</f>
        <v>0</v>
      </c>
      <c r="M28" s="3">
        <f>IF(A28&lt;&gt;0,1,0)</f>
        <v>0</v>
      </c>
      <c r="N28" s="95">
        <f>IF(J28&lt;Q28,1,0)</f>
        <v>0</v>
      </c>
      <c r="O28" s="95">
        <f>IF(J28&gt;R28,1,0)</f>
        <v>0</v>
      </c>
      <c r="P28" s="95">
        <f>SUM(N28:O28)</f>
        <v>0</v>
      </c>
      <c r="Q28" s="52">
        <f>L28*0.5</f>
        <v>0</v>
      </c>
      <c r="R28" s="54">
        <f t="shared" si="9"/>
        <v>0</v>
      </c>
    </row>
    <row r="29" spans="1:22" x14ac:dyDescent="0.25">
      <c r="A29" s="180"/>
      <c r="B29" s="181"/>
      <c r="C29" s="182"/>
      <c r="D29" s="183" t="str">
        <f>IFERROR(VLOOKUP('Ef7'!$A29,'Grade Pós'!A:B,2,0),"")</f>
        <v/>
      </c>
      <c r="E29" s="200"/>
      <c r="F29" s="200"/>
      <c r="G29" s="184"/>
      <c r="H29" s="180"/>
      <c r="I29" s="182"/>
      <c r="J29" s="185"/>
      <c r="K29" s="185"/>
      <c r="L29" s="2">
        <f>SUM(H29:I29)</f>
        <v>0</v>
      </c>
      <c r="M29" s="3">
        <f>IF(A29&lt;&gt;0,1,0)</f>
        <v>0</v>
      </c>
      <c r="N29" s="95">
        <f>IF(J29&lt;Q29,1,0)</f>
        <v>0</v>
      </c>
      <c r="O29" s="95">
        <f>IF(J29&gt;R29,1,0)</f>
        <v>0</v>
      </c>
      <c r="P29" s="95">
        <f>SUM(N29:O29)</f>
        <v>0</v>
      </c>
      <c r="Q29" s="52">
        <f t="shared" si="8"/>
        <v>0</v>
      </c>
      <c r="R29" s="54">
        <f t="shared" si="9"/>
        <v>0</v>
      </c>
    </row>
    <row r="30" spans="1:22" x14ac:dyDescent="0.25">
      <c r="A30" s="180"/>
      <c r="B30" s="181"/>
      <c r="C30" s="182"/>
      <c r="D30" s="183" t="str">
        <f>IFERROR(VLOOKUP('Ef7'!$A30,'Grade Pós'!A:B,2,0),"")</f>
        <v/>
      </c>
      <c r="E30" s="200"/>
      <c r="F30" s="200"/>
      <c r="G30" s="184"/>
      <c r="H30" s="180"/>
      <c r="I30" s="182"/>
      <c r="J30" s="185"/>
      <c r="K30" s="185"/>
      <c r="L30" s="2">
        <f t="shared" ref="L30" si="16">SUM(H30:I30)</f>
        <v>0</v>
      </c>
      <c r="M30" s="3">
        <f>IF(A30&lt;&gt;0,1,0)</f>
        <v>0</v>
      </c>
      <c r="N30" s="95">
        <f>IF(J30&lt;Q30,1,0)</f>
        <v>0</v>
      </c>
      <c r="O30" s="95">
        <f>IF(J30&gt;R30,1,0)</f>
        <v>0</v>
      </c>
      <c r="P30" s="95">
        <f t="shared" ref="P30" si="17">SUM(N30:O30)</f>
        <v>0</v>
      </c>
      <c r="Q30" s="52">
        <f t="shared" si="8"/>
        <v>0</v>
      </c>
      <c r="R30" s="54">
        <f t="shared" si="9"/>
        <v>0</v>
      </c>
    </row>
    <row r="31" spans="1:22" x14ac:dyDescent="0.25">
      <c r="A31" s="180"/>
      <c r="B31" s="181"/>
      <c r="C31" s="182"/>
      <c r="D31" s="183" t="str">
        <f>IFERROR(VLOOKUP('Ef7'!$A31,'Grade Pós'!A:B,2,0),"")</f>
        <v/>
      </c>
      <c r="E31" s="200"/>
      <c r="F31" s="200"/>
      <c r="G31" s="184"/>
      <c r="H31" s="180"/>
      <c r="I31" s="182"/>
      <c r="J31" s="185"/>
      <c r="K31" s="185"/>
      <c r="L31" s="4">
        <f>SUM(H31:I31)</f>
        <v>0</v>
      </c>
      <c r="M31" s="5">
        <f>IF(A31&lt;&gt;0,1,0)</f>
        <v>0</v>
      </c>
      <c r="N31" s="96">
        <f>IF(J31&lt;Q31,1,0)</f>
        <v>0</v>
      </c>
      <c r="O31" s="96">
        <f>IF(J31&gt;R31,1,0)</f>
        <v>0</v>
      </c>
      <c r="P31" s="96">
        <f>SUM(N31:O31)</f>
        <v>0</v>
      </c>
      <c r="Q31" s="97">
        <f>L31*0.5</f>
        <v>0</v>
      </c>
      <c r="R31" s="57">
        <f t="shared" si="9"/>
        <v>0</v>
      </c>
    </row>
    <row r="32" spans="1:22" hidden="1" x14ac:dyDescent="0.25">
      <c r="A32" s="98" t="s">
        <v>1362</v>
      </c>
      <c r="B32" s="98"/>
      <c r="C32" s="98"/>
      <c r="D32" s="98"/>
      <c r="E32" s="98"/>
      <c r="F32" s="159"/>
      <c r="G32" s="159"/>
      <c r="H32" s="205"/>
      <c r="I32" s="206"/>
      <c r="J32">
        <f>SUM(J12:K21)</f>
        <v>0</v>
      </c>
      <c r="K32" s="99">
        <f>SUM(J12:J31)</f>
        <v>0</v>
      </c>
      <c r="L32" s="4">
        <f>SUM(L12:L31)</f>
        <v>0</v>
      </c>
      <c r="M32" s="5">
        <f>SUM(M12:M31)</f>
        <v>0</v>
      </c>
      <c r="N32" s="96">
        <f>IF(K32&lt;Q32,1,0)</f>
        <v>0</v>
      </c>
      <c r="O32" s="96">
        <f>IF(K32&gt;R32,1,0)</f>
        <v>0</v>
      </c>
      <c r="P32" s="96">
        <f>SUM(N32:O32)</f>
        <v>0</v>
      </c>
      <c r="Q32" s="100">
        <f>L32*0.5</f>
        <v>0</v>
      </c>
      <c r="R32" s="101">
        <f t="shared" si="9"/>
        <v>0</v>
      </c>
    </row>
    <row r="33" spans="1:22" x14ac:dyDescent="0.25">
      <c r="F33" s="102"/>
      <c r="G33" s="102"/>
      <c r="H33" s="102"/>
      <c r="I33" s="102"/>
      <c r="J33" s="102"/>
      <c r="K33" s="102"/>
      <c r="L33" s="88"/>
      <c r="M33" s="88"/>
      <c r="N33" s="89"/>
      <c r="O33" s="89"/>
      <c r="P33" s="89"/>
      <c r="Q33" s="103"/>
      <c r="R33" s="103"/>
    </row>
    <row r="34" spans="1:22" x14ac:dyDescent="0.25">
      <c r="A34" s="87" t="s">
        <v>35</v>
      </c>
      <c r="B34" s="87"/>
      <c r="C34" s="87"/>
      <c r="L34" s="88"/>
      <c r="M34" s="104" t="s">
        <v>784</v>
      </c>
      <c r="N34" s="89"/>
      <c r="O34" s="89"/>
      <c r="P34" s="89"/>
      <c r="Q34" s="103"/>
      <c r="R34" s="103"/>
    </row>
    <row r="35" spans="1:22" x14ac:dyDescent="0.25">
      <c r="A35" s="105" t="s">
        <v>98</v>
      </c>
      <c r="B35" s="106"/>
      <c r="C35" s="106"/>
      <c r="D35" s="107"/>
      <c r="E35" s="107"/>
      <c r="F35" s="107"/>
      <c r="G35" s="108"/>
      <c r="H35" s="72" t="s">
        <v>788</v>
      </c>
      <c r="I35" t="str">
        <f>IFERROR(VLOOKUP(H35,TCapes[],2),"")</f>
        <v>2 - Carga horária mínima de ensino à alocar = 12</v>
      </c>
      <c r="L35" s="104">
        <f>IF(H35="2 Não",12,8)</f>
        <v>12</v>
      </c>
      <c r="M35" s="104">
        <f>MIN(L35,L113)</f>
        <v>12</v>
      </c>
      <c r="N35" s="89"/>
      <c r="O35" s="89"/>
      <c r="P35" s="89"/>
      <c r="Q35" s="103"/>
      <c r="R35" s="103"/>
    </row>
    <row r="36" spans="1:22" s="77" customFormat="1" x14ac:dyDescent="0.25">
      <c r="A36" s="207" t="s">
        <v>36</v>
      </c>
      <c r="B36" s="208"/>
      <c r="C36" s="209"/>
      <c r="D36" s="207" t="s">
        <v>37</v>
      </c>
      <c r="E36" s="208"/>
      <c r="F36" s="208"/>
      <c r="G36" s="209"/>
      <c r="H36" s="109" t="s">
        <v>38</v>
      </c>
      <c r="I36" s="210" t="s">
        <v>827</v>
      </c>
      <c r="J36" s="211"/>
      <c r="K36" s="110" t="s">
        <v>755</v>
      </c>
      <c r="L36" s="55" t="s">
        <v>122</v>
      </c>
      <c r="M36" s="56" t="s">
        <v>750</v>
      </c>
      <c r="N36" s="56" t="s">
        <v>751</v>
      </c>
      <c r="O36" s="56" t="s">
        <v>752</v>
      </c>
      <c r="P36" s="56" t="s">
        <v>753</v>
      </c>
      <c r="Q36" s="111" t="s">
        <v>118</v>
      </c>
      <c r="R36" s="112" t="s">
        <v>790</v>
      </c>
      <c r="V36" s="113"/>
    </row>
    <row r="37" spans="1:22" x14ac:dyDescent="0.25">
      <c r="A37" s="180"/>
      <c r="B37" s="181"/>
      <c r="C37" s="182"/>
      <c r="D37" s="180"/>
      <c r="E37" s="181"/>
      <c r="F37" s="181"/>
      <c r="G37" s="182"/>
      <c r="H37" s="73"/>
      <c r="I37" s="180"/>
      <c r="J37" s="182"/>
      <c r="K37" s="73"/>
      <c r="L37" s="2">
        <f t="shared" ref="L37:L49" si="18">IF(A37="Coordenação de Estágio",1,0)</f>
        <v>0</v>
      </c>
      <c r="M37" s="3"/>
      <c r="N37" s="95"/>
      <c r="O37" s="95"/>
      <c r="P37" s="95"/>
      <c r="Q37" s="52">
        <f>IFERROR(VLOOKUP(A37,Dados!$A$85:$D$89,2,0),0)</f>
        <v>0</v>
      </c>
      <c r="R37" s="54">
        <f>IFERROR(VLOOKUP(A37,Dados!$A$85:$D$89,3,0),0)</f>
        <v>0</v>
      </c>
    </row>
    <row r="38" spans="1:22" x14ac:dyDescent="0.25">
      <c r="A38" s="180"/>
      <c r="B38" s="181"/>
      <c r="C38" s="182"/>
      <c r="D38" s="180"/>
      <c r="E38" s="181"/>
      <c r="F38" s="181"/>
      <c r="G38" s="182"/>
      <c r="H38" s="73"/>
      <c r="I38" s="180"/>
      <c r="J38" s="182"/>
      <c r="K38" s="73"/>
      <c r="L38" s="2">
        <f t="shared" si="18"/>
        <v>0</v>
      </c>
      <c r="M38" s="3"/>
      <c r="N38" s="95"/>
      <c r="O38" s="95"/>
      <c r="P38" s="95"/>
      <c r="Q38" s="52">
        <f>IFERROR(VLOOKUP(A38,Dados!$A$85:$D$89,2,0),0)</f>
        <v>0</v>
      </c>
      <c r="R38" s="54">
        <f>IFERROR(VLOOKUP(A38,Dados!$A$85:$D$89,3,0),0)</f>
        <v>0</v>
      </c>
    </row>
    <row r="39" spans="1:22" x14ac:dyDescent="0.25">
      <c r="A39" s="180"/>
      <c r="B39" s="181"/>
      <c r="C39" s="182"/>
      <c r="D39" s="180"/>
      <c r="E39" s="181"/>
      <c r="F39" s="181"/>
      <c r="G39" s="182"/>
      <c r="H39" s="73"/>
      <c r="I39" s="180"/>
      <c r="J39" s="182"/>
      <c r="K39" s="73"/>
      <c r="L39" s="2">
        <f t="shared" si="18"/>
        <v>0</v>
      </c>
      <c r="M39" s="3"/>
      <c r="N39" s="95"/>
      <c r="O39" s="95"/>
      <c r="P39" s="95"/>
      <c r="Q39" s="52">
        <f>IFERROR(VLOOKUP(A39,Dados!$A$85:$D$89,2,0),0)</f>
        <v>0</v>
      </c>
      <c r="R39" s="54">
        <f>IFERROR(VLOOKUP(A39,Dados!$A$85:$D$89,3,0),0)</f>
        <v>0</v>
      </c>
    </row>
    <row r="40" spans="1:22" x14ac:dyDescent="0.25">
      <c r="A40" s="180"/>
      <c r="B40" s="181"/>
      <c r="C40" s="182"/>
      <c r="D40" s="180"/>
      <c r="E40" s="181"/>
      <c r="F40" s="181"/>
      <c r="G40" s="182"/>
      <c r="H40" s="73"/>
      <c r="I40" s="180"/>
      <c r="J40" s="182"/>
      <c r="K40" s="73"/>
      <c r="L40" s="2">
        <f t="shared" si="18"/>
        <v>0</v>
      </c>
      <c r="M40" s="3"/>
      <c r="N40" s="95"/>
      <c r="O40" s="95"/>
      <c r="P40" s="95"/>
      <c r="Q40" s="52">
        <f>IFERROR(VLOOKUP(A40,Dados!$A$85:$D$89,2,0),0)</f>
        <v>0</v>
      </c>
      <c r="R40" s="54">
        <f>IFERROR(VLOOKUP(A40,Dados!$A$85:$D$89,3,0),0)</f>
        <v>0</v>
      </c>
    </row>
    <row r="41" spans="1:22" x14ac:dyDescent="0.25">
      <c r="A41" s="180"/>
      <c r="B41" s="181"/>
      <c r="C41" s="182"/>
      <c r="D41" s="180"/>
      <c r="E41" s="181"/>
      <c r="F41" s="181"/>
      <c r="G41" s="182"/>
      <c r="H41" s="73"/>
      <c r="I41" s="180"/>
      <c r="J41" s="182"/>
      <c r="K41" s="73"/>
      <c r="L41" s="2">
        <f t="shared" si="18"/>
        <v>0</v>
      </c>
      <c r="M41" s="3"/>
      <c r="N41" s="95"/>
      <c r="O41" s="95"/>
      <c r="P41" s="95"/>
      <c r="Q41" s="52">
        <f>IFERROR(VLOOKUP(A41,Dados!$A$85:$D$89,2,0),0)</f>
        <v>0</v>
      </c>
      <c r="R41" s="54">
        <f>IFERROR(VLOOKUP(A41,Dados!$A$85:$D$89,3,0),0)</f>
        <v>0</v>
      </c>
    </row>
    <row r="42" spans="1:22" x14ac:dyDescent="0.25">
      <c r="A42" s="180"/>
      <c r="B42" s="181"/>
      <c r="C42" s="182"/>
      <c r="D42" s="180"/>
      <c r="E42" s="181"/>
      <c r="F42" s="181"/>
      <c r="G42" s="182"/>
      <c r="H42" s="73"/>
      <c r="I42" s="180"/>
      <c r="J42" s="182"/>
      <c r="K42" s="73"/>
      <c r="L42" s="2">
        <f t="shared" si="18"/>
        <v>0</v>
      </c>
      <c r="M42" s="3"/>
      <c r="N42" s="95"/>
      <c r="O42" s="95"/>
      <c r="P42" s="95"/>
      <c r="Q42" s="52">
        <f>IFERROR(VLOOKUP(A42,Dados!$A$85:$D$89,2,0),0)</f>
        <v>0</v>
      </c>
      <c r="R42" s="54">
        <f>IFERROR(VLOOKUP(A42,Dados!$A$85:$D$89,3,0),0)</f>
        <v>0</v>
      </c>
    </row>
    <row r="43" spans="1:22" x14ac:dyDescent="0.25">
      <c r="A43" s="180"/>
      <c r="B43" s="181"/>
      <c r="C43" s="182"/>
      <c r="D43" s="180"/>
      <c r="E43" s="181"/>
      <c r="F43" s="181"/>
      <c r="G43" s="182"/>
      <c r="H43" s="73"/>
      <c r="I43" s="180"/>
      <c r="J43" s="182"/>
      <c r="K43" s="73"/>
      <c r="L43" s="2">
        <f t="shared" si="18"/>
        <v>0</v>
      </c>
      <c r="M43" s="3"/>
      <c r="N43" s="95"/>
      <c r="O43" s="95"/>
      <c r="P43" s="95"/>
      <c r="Q43" s="52">
        <f>IFERROR(VLOOKUP(A43,Dados!$A$85:$D$89,2,0),0)</f>
        <v>0</v>
      </c>
      <c r="R43" s="54">
        <f>IFERROR(VLOOKUP(A43,Dados!$A$85:$D$89,3,0),0)</f>
        <v>0</v>
      </c>
    </row>
    <row r="44" spans="1:22" x14ac:dyDescent="0.25">
      <c r="A44" s="180"/>
      <c r="B44" s="181"/>
      <c r="C44" s="182"/>
      <c r="D44" s="180"/>
      <c r="E44" s="181"/>
      <c r="F44" s="181"/>
      <c r="G44" s="182"/>
      <c r="H44" s="73"/>
      <c r="I44" s="180"/>
      <c r="J44" s="182"/>
      <c r="K44" s="73"/>
      <c r="L44" s="2">
        <f t="shared" si="18"/>
        <v>0</v>
      </c>
      <c r="M44" s="3"/>
      <c r="N44" s="95"/>
      <c r="O44" s="95"/>
      <c r="P44" s="95"/>
      <c r="Q44" s="52">
        <f>IFERROR(VLOOKUP(A44,Dados!$A$85:$D$89,2,0),0)</f>
        <v>0</v>
      </c>
      <c r="R44" s="54">
        <f>IFERROR(VLOOKUP(A44,Dados!$A$85:$D$89,3,0),0)</f>
        <v>0</v>
      </c>
    </row>
    <row r="45" spans="1:22" x14ac:dyDescent="0.25">
      <c r="A45" s="180"/>
      <c r="B45" s="181"/>
      <c r="C45" s="182"/>
      <c r="D45" s="180"/>
      <c r="E45" s="181"/>
      <c r="F45" s="181"/>
      <c r="G45" s="182"/>
      <c r="H45" s="73"/>
      <c r="I45" s="180"/>
      <c r="J45" s="182"/>
      <c r="K45" s="73"/>
      <c r="L45" s="2">
        <f>IF(A45="Coordenação de Estágio",1,0)</f>
        <v>0</v>
      </c>
      <c r="M45" s="3"/>
      <c r="N45" s="95"/>
      <c r="O45" s="95"/>
      <c r="P45" s="95"/>
      <c r="Q45" s="52">
        <f>IFERROR(VLOOKUP(A45,Dados!$A$85:$D$89,2,0),0)</f>
        <v>0</v>
      </c>
      <c r="R45" s="54">
        <f>IFERROR(VLOOKUP(A45,Dados!$A$85:$D$89,3,0),0)</f>
        <v>0</v>
      </c>
    </row>
    <row r="46" spans="1:22" x14ac:dyDescent="0.25">
      <c r="A46" s="180"/>
      <c r="B46" s="181"/>
      <c r="C46" s="182"/>
      <c r="D46" s="180"/>
      <c r="E46" s="181"/>
      <c r="F46" s="181"/>
      <c r="G46" s="182"/>
      <c r="H46" s="73"/>
      <c r="I46" s="180"/>
      <c r="J46" s="182"/>
      <c r="K46" s="73"/>
      <c r="L46" s="2">
        <f>IF(A46="Coordenação de Estágio",1,0)</f>
        <v>0</v>
      </c>
      <c r="M46" s="3"/>
      <c r="N46" s="95"/>
      <c r="O46" s="95"/>
      <c r="P46" s="95"/>
      <c r="Q46" s="52">
        <f>IFERROR(VLOOKUP(A46,Dados!$A$85:$D$89,2,0),0)</f>
        <v>0</v>
      </c>
      <c r="R46" s="54">
        <f>IFERROR(VLOOKUP(A46,Dados!$A$85:$D$89,3,0),0)</f>
        <v>0</v>
      </c>
    </row>
    <row r="47" spans="1:22" s="77" customFormat="1" x14ac:dyDescent="0.25">
      <c r="A47" s="180"/>
      <c r="B47" s="181"/>
      <c r="C47" s="182"/>
      <c r="D47" s="180"/>
      <c r="E47" s="181"/>
      <c r="F47" s="181"/>
      <c r="G47" s="182"/>
      <c r="H47" s="73"/>
      <c r="I47" s="180"/>
      <c r="J47" s="182"/>
      <c r="K47" s="73"/>
      <c r="L47" s="2">
        <f t="shared" si="18"/>
        <v>0</v>
      </c>
      <c r="M47" s="3"/>
      <c r="N47" s="95"/>
      <c r="O47" s="95"/>
      <c r="P47" s="95"/>
      <c r="Q47" s="52">
        <f>IFERROR(VLOOKUP(A47,Dados!$A$85:$D$89,2,0),0)</f>
        <v>0</v>
      </c>
      <c r="R47" s="54">
        <f>IFERROR(VLOOKUP(A47,Dados!$A$85:$D$89,3,0),0)</f>
        <v>0</v>
      </c>
      <c r="V47" s="113"/>
    </row>
    <row r="48" spans="1:22" x14ac:dyDescent="0.25">
      <c r="A48" s="180"/>
      <c r="B48" s="181"/>
      <c r="C48" s="182"/>
      <c r="D48" s="180"/>
      <c r="E48" s="181"/>
      <c r="F48" s="181"/>
      <c r="G48" s="182"/>
      <c r="H48" s="73"/>
      <c r="I48" s="180"/>
      <c r="J48" s="182"/>
      <c r="K48" s="73"/>
      <c r="L48" s="2">
        <f t="shared" si="18"/>
        <v>0</v>
      </c>
      <c r="M48" s="3"/>
      <c r="N48" s="95"/>
      <c r="O48" s="95"/>
      <c r="P48" s="95"/>
      <c r="Q48" s="52">
        <f>IFERROR(VLOOKUP(A48,Dados!$A$85:$D$89,2,0),0)</f>
        <v>0</v>
      </c>
      <c r="R48" s="54">
        <f>IFERROR(VLOOKUP(A48,Dados!$A$85:$D$89,3,0),0)</f>
        <v>0</v>
      </c>
    </row>
    <row r="49" spans="1:22" x14ac:dyDescent="0.25">
      <c r="A49" s="180"/>
      <c r="B49" s="181"/>
      <c r="C49" s="182"/>
      <c r="D49" s="180"/>
      <c r="E49" s="181"/>
      <c r="F49" s="181"/>
      <c r="G49" s="182"/>
      <c r="H49" s="154"/>
      <c r="I49" s="180"/>
      <c r="J49" s="182"/>
      <c r="K49" s="154"/>
      <c r="L49" s="4">
        <f t="shared" si="18"/>
        <v>0</v>
      </c>
      <c r="M49" s="5"/>
      <c r="N49" s="96"/>
      <c r="O49" s="96"/>
      <c r="P49" s="96"/>
      <c r="Q49" s="53">
        <f>IFERROR(VLOOKUP(A49,Dados!$A$85:$D$89,2,0),0)</f>
        <v>0</v>
      </c>
      <c r="R49" s="114">
        <f>IFERROR(VLOOKUP(A49,Dados!$A$85:$D$89,3,0),0)</f>
        <v>0</v>
      </c>
    </row>
    <row r="50" spans="1:22" hidden="1" x14ac:dyDescent="0.25">
      <c r="A50" s="88" t="s">
        <v>1362</v>
      </c>
      <c r="B50" s="88"/>
      <c r="C50" s="88"/>
      <c r="D50" s="88"/>
      <c r="E50" s="88"/>
      <c r="F50" s="88"/>
      <c r="G50" s="88"/>
      <c r="H50" s="88"/>
      <c r="I50" s="115"/>
      <c r="J50" s="115"/>
      <c r="K50" s="115">
        <f>SUM(K37:K49)</f>
        <v>0</v>
      </c>
      <c r="L50" s="88">
        <f>SUM(L37:L49)</f>
        <v>0</v>
      </c>
      <c r="M50" s="88">
        <f>IF(L50=1,20,12)</f>
        <v>12</v>
      </c>
      <c r="N50" s="88"/>
      <c r="O50" s="88"/>
      <c r="P50" s="88"/>
      <c r="Q50" s="116">
        <f>SUM(Q37:Q49)</f>
        <v>0</v>
      </c>
      <c r="R50" s="116">
        <f>SUM(R37:R49)</f>
        <v>0</v>
      </c>
    </row>
    <row r="51" spans="1:22" x14ac:dyDescent="0.25">
      <c r="I51" s="102"/>
      <c r="J51" s="102"/>
      <c r="L51" s="88"/>
      <c r="M51" s="88"/>
      <c r="N51" s="89"/>
      <c r="O51" s="89"/>
      <c r="P51" s="89"/>
      <c r="Q51" s="117"/>
      <c r="R51" s="117"/>
    </row>
    <row r="52" spans="1:22" x14ac:dyDescent="0.25">
      <c r="A52" s="87" t="s">
        <v>39</v>
      </c>
      <c r="B52" s="87"/>
      <c r="C52" s="87"/>
      <c r="I52" s="102"/>
      <c r="J52" s="102"/>
      <c r="L52" s="88"/>
      <c r="M52" s="88"/>
      <c r="N52" s="89"/>
      <c r="O52" s="89"/>
      <c r="P52" s="89"/>
      <c r="Q52" s="117"/>
      <c r="R52" s="117"/>
    </row>
    <row r="53" spans="1:22" s="77" customFormat="1" x14ac:dyDescent="0.25">
      <c r="A53" s="212" t="s">
        <v>40</v>
      </c>
      <c r="B53" s="213"/>
      <c r="C53" s="214"/>
      <c r="D53" s="210" t="s">
        <v>792</v>
      </c>
      <c r="E53" s="211"/>
      <c r="F53" s="118" t="s">
        <v>41</v>
      </c>
      <c r="G53" s="215" t="s">
        <v>42</v>
      </c>
      <c r="H53" s="216"/>
      <c r="I53" s="215" t="s">
        <v>43</v>
      </c>
      <c r="J53" s="216"/>
      <c r="K53" s="119" t="s">
        <v>44</v>
      </c>
      <c r="L53" s="120" t="s">
        <v>750</v>
      </c>
      <c r="M53" s="120" t="s">
        <v>751</v>
      </c>
      <c r="N53" s="120" t="s">
        <v>752</v>
      </c>
      <c r="O53" s="120" t="s">
        <v>753</v>
      </c>
      <c r="P53" s="120" t="s">
        <v>754</v>
      </c>
      <c r="Q53" s="111" t="s">
        <v>118</v>
      </c>
      <c r="R53" s="112" t="s">
        <v>790</v>
      </c>
      <c r="V53" s="113"/>
    </row>
    <row r="54" spans="1:22" x14ac:dyDescent="0.25">
      <c r="A54" s="180"/>
      <c r="B54" s="181"/>
      <c r="C54" s="182"/>
      <c r="D54" s="180"/>
      <c r="E54" s="182"/>
      <c r="F54" s="74"/>
      <c r="G54" s="180"/>
      <c r="H54" s="182"/>
      <c r="I54" s="180"/>
      <c r="J54" s="182"/>
      <c r="K54" s="73"/>
      <c r="L54" s="121"/>
      <c r="M54" s="121"/>
      <c r="N54" s="122"/>
      <c r="O54" s="122"/>
      <c r="P54" s="122"/>
      <c r="Q54" s="52">
        <f>IFERROR(VLOOKUP('Ef7'!$D54,Tabela20[],2,0),0)</f>
        <v>0</v>
      </c>
      <c r="R54" s="54">
        <f>IFERROR(VLOOKUP('Ef7'!$D54,Tabela20[],3,0),0)</f>
        <v>0</v>
      </c>
    </row>
    <row r="55" spans="1:22" x14ac:dyDescent="0.25">
      <c r="A55" s="154"/>
      <c r="B55" s="157"/>
      <c r="C55" s="155"/>
      <c r="D55" s="180"/>
      <c r="E55" s="182"/>
      <c r="F55" s="74"/>
      <c r="G55" s="154"/>
      <c r="H55" s="155"/>
      <c r="I55" s="180"/>
      <c r="J55" s="182"/>
      <c r="K55" s="73"/>
      <c r="L55" s="121"/>
      <c r="M55" s="121"/>
      <c r="N55" s="122"/>
      <c r="O55" s="122"/>
      <c r="P55" s="122"/>
      <c r="Q55" s="52">
        <f>IFERROR(VLOOKUP('Ef7'!$D55,Tabela20[],2,0),0)</f>
        <v>0</v>
      </c>
      <c r="R55" s="54">
        <f>IFERROR(VLOOKUP('Ef7'!$D55,Tabela20[],3,0),0)</f>
        <v>0</v>
      </c>
    </row>
    <row r="56" spans="1:22" x14ac:dyDescent="0.25">
      <c r="A56" s="154"/>
      <c r="B56" s="157"/>
      <c r="C56" s="155"/>
      <c r="D56" s="180"/>
      <c r="E56" s="182"/>
      <c r="F56" s="74"/>
      <c r="G56" s="154"/>
      <c r="H56" s="155"/>
      <c r="I56" s="180"/>
      <c r="J56" s="182"/>
      <c r="K56" s="73"/>
      <c r="L56" s="121"/>
      <c r="M56" s="121"/>
      <c r="N56" s="122"/>
      <c r="O56" s="122"/>
      <c r="P56" s="122"/>
      <c r="Q56" s="52">
        <f>IFERROR(VLOOKUP('Ef7'!$D56,Tabela20[],2,0),0)</f>
        <v>0</v>
      </c>
      <c r="R56" s="54">
        <f>IFERROR(VLOOKUP('Ef7'!$D56,Tabela20[],3,0),0)</f>
        <v>0</v>
      </c>
    </row>
    <row r="57" spans="1:22" x14ac:dyDescent="0.25">
      <c r="A57" s="154"/>
      <c r="B57" s="157"/>
      <c r="C57" s="155"/>
      <c r="D57" s="180"/>
      <c r="E57" s="182"/>
      <c r="F57" s="74"/>
      <c r="G57" s="154"/>
      <c r="H57" s="155"/>
      <c r="I57" s="180"/>
      <c r="J57" s="182"/>
      <c r="K57" s="73"/>
      <c r="L57" s="121"/>
      <c r="M57" s="121"/>
      <c r="N57" s="122"/>
      <c r="O57" s="122"/>
      <c r="P57" s="122"/>
      <c r="Q57" s="52">
        <f>IFERROR(VLOOKUP('Ef7'!$D57,Tabela20[],2,0),0)</f>
        <v>0</v>
      </c>
      <c r="R57" s="54">
        <f>IFERROR(VLOOKUP('Ef7'!$D57,Tabela20[],3,0),0)</f>
        <v>0</v>
      </c>
    </row>
    <row r="58" spans="1:22" x14ac:dyDescent="0.25">
      <c r="A58" s="180"/>
      <c r="B58" s="181"/>
      <c r="C58" s="182"/>
      <c r="D58" s="180"/>
      <c r="E58" s="182"/>
      <c r="F58" s="74"/>
      <c r="G58" s="180"/>
      <c r="H58" s="182"/>
      <c r="I58" s="180"/>
      <c r="J58" s="182"/>
      <c r="K58" s="73"/>
      <c r="L58" s="121"/>
      <c r="M58" s="121"/>
      <c r="N58" s="122"/>
      <c r="O58" s="122"/>
      <c r="P58" s="122"/>
      <c r="Q58" s="52">
        <f>IFERROR(VLOOKUP('Ef7'!$D58,Tabela20[],2,0),0)</f>
        <v>0</v>
      </c>
      <c r="R58" s="54">
        <f>IFERROR(VLOOKUP('Ef7'!$D58,Tabela20[],3,0),0)</f>
        <v>0</v>
      </c>
    </row>
    <row r="59" spans="1:22" x14ac:dyDescent="0.25">
      <c r="A59" s="180"/>
      <c r="B59" s="181"/>
      <c r="C59" s="182"/>
      <c r="D59" s="180"/>
      <c r="E59" s="182"/>
      <c r="F59" s="74"/>
      <c r="G59" s="180"/>
      <c r="H59" s="182"/>
      <c r="I59" s="180"/>
      <c r="J59" s="182"/>
      <c r="K59" s="73"/>
      <c r="L59" s="121"/>
      <c r="M59" s="121"/>
      <c r="N59" s="122"/>
      <c r="O59" s="122"/>
      <c r="P59" s="122"/>
      <c r="Q59" s="52">
        <f>IFERROR(VLOOKUP('Ef7'!$D59,Tabela20[],2,0),0)</f>
        <v>0</v>
      </c>
      <c r="R59" s="54">
        <f>IFERROR(VLOOKUP('Ef7'!$D59,Tabela20[],3,0),0)</f>
        <v>0</v>
      </c>
    </row>
    <row r="60" spans="1:22" x14ac:dyDescent="0.25">
      <c r="A60" s="180"/>
      <c r="B60" s="181"/>
      <c r="C60" s="182"/>
      <c r="D60" s="180"/>
      <c r="E60" s="182"/>
      <c r="F60" s="74"/>
      <c r="G60" s="180"/>
      <c r="H60" s="182"/>
      <c r="I60" s="180"/>
      <c r="J60" s="182"/>
      <c r="K60" s="73"/>
      <c r="L60" s="121"/>
      <c r="M60" s="121"/>
      <c r="N60" s="122"/>
      <c r="O60" s="122"/>
      <c r="P60" s="122"/>
      <c r="Q60" s="52">
        <f>IFERROR(VLOOKUP('Ef7'!$D60,Tabela20[],2,0),0)</f>
        <v>0</v>
      </c>
      <c r="R60" s="54">
        <f>IFERROR(VLOOKUP('Ef7'!$D60,Tabela20[],3,0),0)</f>
        <v>0</v>
      </c>
    </row>
    <row r="61" spans="1:22" x14ac:dyDescent="0.25">
      <c r="A61" s="180"/>
      <c r="B61" s="181"/>
      <c r="C61" s="182"/>
      <c r="D61" s="180"/>
      <c r="E61" s="182"/>
      <c r="F61" s="74"/>
      <c r="G61" s="180"/>
      <c r="H61" s="182"/>
      <c r="I61" s="180"/>
      <c r="J61" s="182"/>
      <c r="K61" s="73"/>
      <c r="L61" s="121"/>
      <c r="M61" s="121"/>
      <c r="N61" s="122"/>
      <c r="O61" s="122"/>
      <c r="P61" s="122"/>
      <c r="Q61" s="52">
        <f>IFERROR(VLOOKUP('Ef7'!$D61,Tabela20[],2,0),0)</f>
        <v>0</v>
      </c>
      <c r="R61" s="54">
        <f>IFERROR(VLOOKUP('Ef7'!$D61,Tabela20[],3,0),0)</f>
        <v>0</v>
      </c>
    </row>
    <row r="62" spans="1:22" x14ac:dyDescent="0.25">
      <c r="A62" s="180"/>
      <c r="B62" s="181"/>
      <c r="C62" s="182"/>
      <c r="D62" s="180"/>
      <c r="E62" s="182"/>
      <c r="F62" s="74"/>
      <c r="G62" s="180"/>
      <c r="H62" s="182"/>
      <c r="I62" s="180"/>
      <c r="J62" s="182"/>
      <c r="K62" s="73"/>
      <c r="L62" s="121"/>
      <c r="M62" s="121"/>
      <c r="N62" s="122"/>
      <c r="O62" s="122"/>
      <c r="P62" s="122"/>
      <c r="Q62" s="52">
        <f>IFERROR(VLOOKUP('Ef7'!$D62,Tabela20[],2,0),0)</f>
        <v>0</v>
      </c>
      <c r="R62" s="54">
        <f>IFERROR(VLOOKUP('Ef7'!$D62,Tabela20[],3,0),0)</f>
        <v>0</v>
      </c>
    </row>
    <row r="63" spans="1:22" x14ac:dyDescent="0.25">
      <c r="A63" s="180"/>
      <c r="B63" s="181"/>
      <c r="C63" s="182"/>
      <c r="D63" s="180"/>
      <c r="E63" s="182"/>
      <c r="F63" s="74"/>
      <c r="G63" s="180"/>
      <c r="H63" s="182"/>
      <c r="I63" s="180"/>
      <c r="J63" s="182"/>
      <c r="K63" s="73"/>
      <c r="L63" s="121"/>
      <c r="M63" s="121"/>
      <c r="N63" s="122"/>
      <c r="O63" s="122"/>
      <c r="P63" s="122"/>
      <c r="Q63" s="52">
        <f>IFERROR(VLOOKUP('Ef7'!$D63,Tabela20[],2,0),0)</f>
        <v>0</v>
      </c>
      <c r="R63" s="54">
        <f>IFERROR(VLOOKUP('Ef7'!$D63,Tabela20[],3,0),0)</f>
        <v>0</v>
      </c>
    </row>
    <row r="64" spans="1:22" x14ac:dyDescent="0.25">
      <c r="A64" s="180"/>
      <c r="B64" s="181"/>
      <c r="C64" s="182"/>
      <c r="D64" s="180"/>
      <c r="E64" s="182"/>
      <c r="F64" s="74"/>
      <c r="G64" s="180"/>
      <c r="H64" s="182"/>
      <c r="I64" s="180"/>
      <c r="J64" s="182"/>
      <c r="K64" s="154"/>
      <c r="L64" s="123"/>
      <c r="M64" s="123"/>
      <c r="N64" s="98"/>
      <c r="O64" s="98"/>
      <c r="P64" s="98"/>
      <c r="Q64" s="53">
        <f>IFERROR(VLOOKUP('Ef7'!$D64,Tabela20[],2,0),0)</f>
        <v>0</v>
      </c>
      <c r="R64" s="114">
        <f>IFERROR(VLOOKUP('Ef7'!$D64,Tabela20[],3,0),0)</f>
        <v>0</v>
      </c>
    </row>
    <row r="65" spans="1:23" s="89" customFormat="1" hidden="1" x14ac:dyDescent="0.25">
      <c r="A65" s="89" t="s">
        <v>756</v>
      </c>
      <c r="F65" s="124">
        <f>SUM('Ef7'!$F$54:$F$64)</f>
        <v>0</v>
      </c>
      <c r="G65" s="124"/>
      <c r="H65" s="124"/>
      <c r="I65" s="124"/>
      <c r="J65" s="124"/>
      <c r="L65" s="88"/>
      <c r="M65" s="88"/>
      <c r="Q65" s="125"/>
      <c r="R65" s="125"/>
      <c r="V65" s="126"/>
    </row>
    <row r="66" spans="1:23" x14ac:dyDescent="0.25">
      <c r="F66" s="102"/>
      <c r="G66" s="102"/>
      <c r="H66" s="102"/>
      <c r="I66" s="102"/>
      <c r="J66" s="102"/>
      <c r="L66" s="88"/>
      <c r="M66" s="88"/>
      <c r="N66" s="89"/>
      <c r="O66" s="89"/>
      <c r="P66" s="89"/>
      <c r="Q66" s="103"/>
      <c r="R66" s="103"/>
    </row>
    <row r="67" spans="1:23" x14ac:dyDescent="0.25">
      <c r="A67" s="87" t="s">
        <v>45</v>
      </c>
      <c r="B67" s="87"/>
      <c r="C67" s="87"/>
      <c r="F67" s="102"/>
      <c r="G67" s="102"/>
      <c r="H67" s="102"/>
      <c r="I67" s="102"/>
      <c r="J67" s="102"/>
      <c r="L67" s="88"/>
      <c r="M67" s="88"/>
      <c r="N67" s="89"/>
      <c r="O67" s="89"/>
      <c r="P67" s="89"/>
      <c r="Q67" s="103"/>
      <c r="R67" s="103"/>
    </row>
    <row r="68" spans="1:23" x14ac:dyDescent="0.25">
      <c r="A68" s="105" t="s">
        <v>764</v>
      </c>
      <c r="B68" s="105"/>
      <c r="C68" s="105"/>
      <c r="D68" s="217"/>
      <c r="E68" s="217"/>
      <c r="F68" s="217"/>
      <c r="G68" s="217"/>
      <c r="H68" s="217"/>
      <c r="L68" s="89" t="e">
        <f>VLOOKUP(D68,TabPesquisa[],3)</f>
        <v>#N/A</v>
      </c>
      <c r="M68" s="88"/>
      <c r="N68" s="89"/>
      <c r="O68" s="89"/>
      <c r="P68" s="89"/>
      <c r="Q68" s="153" t="str">
        <f>IFERROR(VLOOKUP(D68,TabPesquisa[],2),"")</f>
        <v/>
      </c>
      <c r="R68" s="103"/>
    </row>
    <row r="69" spans="1:23" s="77" customFormat="1" ht="51.75" customHeight="1" x14ac:dyDescent="0.25">
      <c r="A69" s="212" t="s">
        <v>40</v>
      </c>
      <c r="B69" s="213"/>
      <c r="C69" s="214"/>
      <c r="D69" s="210" t="s">
        <v>792</v>
      </c>
      <c r="E69" s="211"/>
      <c r="F69" s="119" t="s">
        <v>41</v>
      </c>
      <c r="G69" s="215" t="s">
        <v>42</v>
      </c>
      <c r="H69" s="216"/>
      <c r="I69" s="127" t="s">
        <v>906</v>
      </c>
      <c r="J69" s="119" t="s">
        <v>43</v>
      </c>
      <c r="K69" s="119" t="s">
        <v>44</v>
      </c>
      <c r="L69" s="120"/>
      <c r="M69" s="120"/>
      <c r="N69" s="120"/>
      <c r="O69" s="120"/>
      <c r="P69" s="120"/>
      <c r="Q69" s="111" t="s">
        <v>118</v>
      </c>
      <c r="R69" s="112" t="s">
        <v>790</v>
      </c>
      <c r="V69" s="113"/>
      <c r="W69" s="128"/>
    </row>
    <row r="70" spans="1:23" ht="49.5" customHeight="1" x14ac:dyDescent="0.25">
      <c r="A70" s="180"/>
      <c r="B70" s="181"/>
      <c r="C70" s="182"/>
      <c r="D70" s="180"/>
      <c r="E70" s="182"/>
      <c r="F70" s="73"/>
      <c r="G70" s="180"/>
      <c r="H70" s="182"/>
      <c r="I70" s="75"/>
      <c r="J70" s="75"/>
      <c r="K70" s="75"/>
      <c r="L70" s="129"/>
      <c r="M70" s="129"/>
      <c r="N70" s="130"/>
      <c r="O70" s="130"/>
      <c r="P70" s="122"/>
      <c r="Q70" s="52">
        <f>IFERROR(VLOOKUP('Ef7'!$D70,Tabela11[],2),0)</f>
        <v>0</v>
      </c>
      <c r="R70" s="54">
        <f>IFERROR(VLOOKUP('Ef7'!$D70,Tabela11[],3),0)</f>
        <v>0</v>
      </c>
    </row>
    <row r="71" spans="1:23" ht="15" customHeight="1" x14ac:dyDescent="0.25">
      <c r="A71" s="180"/>
      <c r="B71" s="181"/>
      <c r="C71" s="182"/>
      <c r="D71" s="180"/>
      <c r="E71" s="182"/>
      <c r="F71" s="73"/>
      <c r="G71" s="180"/>
      <c r="H71" s="182"/>
      <c r="I71" s="75"/>
      <c r="J71" s="75"/>
      <c r="K71" s="75"/>
      <c r="L71" s="129"/>
      <c r="M71" s="129"/>
      <c r="N71" s="130"/>
      <c r="O71" s="130"/>
      <c r="P71" s="122"/>
      <c r="Q71" s="52">
        <f>IFERROR(VLOOKUP('Ef7'!$D71,Tabela11[],2),0)</f>
        <v>0</v>
      </c>
      <c r="R71" s="54">
        <f>IFERROR(VLOOKUP('Ef7'!$D71,Tabela11[],3),0)</f>
        <v>0</v>
      </c>
    </row>
    <row r="72" spans="1:23" x14ac:dyDescent="0.25">
      <c r="A72" s="180"/>
      <c r="B72" s="181"/>
      <c r="C72" s="182"/>
      <c r="D72" s="180"/>
      <c r="E72" s="182"/>
      <c r="F72" s="73"/>
      <c r="G72" s="180"/>
      <c r="H72" s="182"/>
      <c r="I72" s="75"/>
      <c r="J72" s="75"/>
      <c r="K72" s="75"/>
      <c r="L72" s="129"/>
      <c r="M72" s="129"/>
      <c r="N72" s="130"/>
      <c r="O72" s="130"/>
      <c r="P72" s="122"/>
      <c r="Q72" s="52">
        <f>IFERROR(VLOOKUP('Ef7'!$D72,Tabela11[],2),0)</f>
        <v>0</v>
      </c>
      <c r="R72" s="54">
        <f>IFERROR(VLOOKUP('Ef7'!$D72,Tabela11[],3),0)</f>
        <v>0</v>
      </c>
    </row>
    <row r="73" spans="1:23" x14ac:dyDescent="0.25">
      <c r="A73" s="180"/>
      <c r="B73" s="181"/>
      <c r="C73" s="182"/>
      <c r="D73" s="180"/>
      <c r="E73" s="182"/>
      <c r="F73" s="73"/>
      <c r="G73" s="180"/>
      <c r="H73" s="182"/>
      <c r="I73" s="75"/>
      <c r="J73" s="75"/>
      <c r="K73" s="75"/>
      <c r="L73" s="129"/>
      <c r="M73" s="129"/>
      <c r="N73" s="130"/>
      <c r="O73" s="130"/>
      <c r="P73" s="122"/>
      <c r="Q73" s="52">
        <f>IFERROR(VLOOKUP('Ef7'!$D73,Tabela11[],2),0)</f>
        <v>0</v>
      </c>
      <c r="R73" s="54">
        <f>IFERROR(VLOOKUP('Ef7'!$D73,Tabela11[],3),0)</f>
        <v>0</v>
      </c>
    </row>
    <row r="74" spans="1:23" x14ac:dyDescent="0.25">
      <c r="A74" s="180"/>
      <c r="B74" s="181"/>
      <c r="C74" s="182"/>
      <c r="D74" s="180"/>
      <c r="E74" s="182"/>
      <c r="F74" s="73"/>
      <c r="G74" s="180"/>
      <c r="H74" s="182"/>
      <c r="I74" s="75"/>
      <c r="J74" s="75"/>
      <c r="K74" s="75"/>
      <c r="L74" s="129"/>
      <c r="M74" s="129"/>
      <c r="N74" s="130"/>
      <c r="O74" s="130"/>
      <c r="P74" s="122"/>
      <c r="Q74" s="52">
        <f>IFERROR(VLOOKUP('Ef7'!$D74,Tabela11[],2),0)</f>
        <v>0</v>
      </c>
      <c r="R74" s="54">
        <f>IFERROR(VLOOKUP('Ef7'!$D74,Tabela11[],3),0)</f>
        <v>0</v>
      </c>
    </row>
    <row r="75" spans="1:23" x14ac:dyDescent="0.25">
      <c r="A75" s="180"/>
      <c r="B75" s="181"/>
      <c r="C75" s="182"/>
      <c r="D75" s="180"/>
      <c r="E75" s="182"/>
      <c r="F75" s="73"/>
      <c r="G75" s="180"/>
      <c r="H75" s="182"/>
      <c r="I75" s="75"/>
      <c r="J75" s="75"/>
      <c r="K75" s="75"/>
      <c r="L75" s="129"/>
      <c r="M75" s="129"/>
      <c r="N75" s="130"/>
      <c r="O75" s="130"/>
      <c r="P75" s="122"/>
      <c r="Q75" s="52">
        <f>IFERROR(VLOOKUP('Ef7'!$D75,Tabela11[],2),0)</f>
        <v>0</v>
      </c>
      <c r="R75" s="54">
        <f>IFERROR(VLOOKUP('Ef7'!$D75,Tabela11[],3),0)</f>
        <v>0</v>
      </c>
    </row>
    <row r="76" spans="1:23" x14ac:dyDescent="0.25">
      <c r="A76" s="180"/>
      <c r="B76" s="181"/>
      <c r="C76" s="182"/>
      <c r="D76" s="180"/>
      <c r="E76" s="182"/>
      <c r="F76" s="73"/>
      <c r="G76" s="180"/>
      <c r="H76" s="182"/>
      <c r="I76" s="75"/>
      <c r="J76" s="75"/>
      <c r="K76" s="75"/>
      <c r="L76" s="129"/>
      <c r="M76" s="129"/>
      <c r="N76" s="130"/>
      <c r="O76" s="130"/>
      <c r="P76" s="122"/>
      <c r="Q76" s="52">
        <f>IFERROR(VLOOKUP('Ef7'!$D76,Tabela11[],2),0)</f>
        <v>0</v>
      </c>
      <c r="R76" s="54">
        <f>IFERROR(VLOOKUP('Ef7'!$D76,Tabela11[],3),0)</f>
        <v>0</v>
      </c>
    </row>
    <row r="77" spans="1:23" x14ac:dyDescent="0.25">
      <c r="A77" s="180"/>
      <c r="B77" s="181"/>
      <c r="C77" s="182"/>
      <c r="D77" s="180"/>
      <c r="E77" s="182"/>
      <c r="F77" s="73"/>
      <c r="G77" s="180"/>
      <c r="H77" s="182"/>
      <c r="I77" s="75"/>
      <c r="J77" s="75"/>
      <c r="K77" s="75"/>
      <c r="L77" s="129"/>
      <c r="M77" s="129"/>
      <c r="N77" s="130"/>
      <c r="O77" s="130"/>
      <c r="P77" s="122"/>
      <c r="Q77" s="52">
        <f>IFERROR(VLOOKUP('Ef7'!$D77,Tabela11[],2),0)</f>
        <v>0</v>
      </c>
      <c r="R77" s="54">
        <f>IFERROR(VLOOKUP('Ef7'!$D77,Tabela11[],3),0)</f>
        <v>0</v>
      </c>
    </row>
    <row r="78" spans="1:23" x14ac:dyDescent="0.25">
      <c r="A78" s="180"/>
      <c r="B78" s="181"/>
      <c r="C78" s="182"/>
      <c r="D78" s="180"/>
      <c r="E78" s="182"/>
      <c r="F78" s="73"/>
      <c r="G78" s="180"/>
      <c r="H78" s="182"/>
      <c r="I78" s="75"/>
      <c r="J78" s="75"/>
      <c r="K78" s="75"/>
      <c r="L78" s="129"/>
      <c r="M78" s="129"/>
      <c r="N78" s="130"/>
      <c r="O78" s="130"/>
      <c r="P78" s="122"/>
      <c r="Q78" s="52">
        <f>IFERROR(VLOOKUP('Ef7'!$D78,Tabela11[],2),0)</f>
        <v>0</v>
      </c>
      <c r="R78" s="54">
        <f>IFERROR(VLOOKUP('Ef7'!$D78,Tabela11[],3),0)</f>
        <v>0</v>
      </c>
    </row>
    <row r="79" spans="1:23" x14ac:dyDescent="0.25">
      <c r="A79" s="180"/>
      <c r="B79" s="181"/>
      <c r="C79" s="182"/>
      <c r="D79" s="180"/>
      <c r="E79" s="182"/>
      <c r="F79" s="73"/>
      <c r="G79" s="180"/>
      <c r="H79" s="182"/>
      <c r="I79" s="75"/>
      <c r="J79" s="75"/>
      <c r="K79" s="75"/>
      <c r="L79" s="129"/>
      <c r="M79" s="129"/>
      <c r="N79" s="130"/>
      <c r="O79" s="130"/>
      <c r="P79" s="122"/>
      <c r="Q79" s="52">
        <f>IFERROR(VLOOKUP('Ef7'!$D79,Tabela11[],2),0)</f>
        <v>0</v>
      </c>
      <c r="R79" s="54">
        <f>IFERROR(VLOOKUP('Ef7'!$D79,Tabela11[],3),0)</f>
        <v>0</v>
      </c>
    </row>
    <row r="80" spans="1:23" x14ac:dyDescent="0.25">
      <c r="A80" s="180"/>
      <c r="B80" s="181"/>
      <c r="C80" s="182"/>
      <c r="D80" s="180"/>
      <c r="E80" s="182"/>
      <c r="F80" s="154"/>
      <c r="G80" s="180"/>
      <c r="H80" s="182"/>
      <c r="I80" s="156"/>
      <c r="J80" s="156"/>
      <c r="K80" s="156"/>
      <c r="L80" s="131"/>
      <c r="M80" s="131"/>
      <c r="N80" s="132"/>
      <c r="O80" s="132"/>
      <c r="P80" s="98"/>
      <c r="Q80" s="53">
        <f>IFERROR(VLOOKUP('Ef7'!$D80,Tabela11[],2),0)</f>
        <v>0</v>
      </c>
      <c r="R80" s="114">
        <f>IFERROR(VLOOKUP('Ef7'!$D80,Tabela11[],3),0)</f>
        <v>0</v>
      </c>
    </row>
    <row r="81" spans="1:22" ht="15" hidden="1" customHeight="1" x14ac:dyDescent="0.25">
      <c r="A81" s="133" t="s">
        <v>1362</v>
      </c>
      <c r="B81" s="133"/>
      <c r="C81" s="133"/>
      <c r="D81" s="133"/>
      <c r="E81" s="133"/>
      <c r="F81" s="134">
        <f>SUM(F70:F80)</f>
        <v>0</v>
      </c>
      <c r="G81" s="134"/>
      <c r="H81" s="134"/>
      <c r="I81" s="134"/>
      <c r="J81" s="134"/>
      <c r="K81" s="89"/>
      <c r="L81" s="88"/>
      <c r="M81" s="88"/>
      <c r="N81" s="89"/>
      <c r="O81" s="89"/>
      <c r="P81" s="89"/>
      <c r="Q81" s="101"/>
      <c r="R81" s="101"/>
    </row>
    <row r="82" spans="1:22" x14ac:dyDescent="0.25">
      <c r="F82" s="102"/>
      <c r="G82" s="102"/>
      <c r="H82" s="102"/>
      <c r="I82" s="102"/>
      <c r="J82" s="102"/>
      <c r="L82" s="88"/>
      <c r="M82" s="88"/>
      <c r="N82" s="89"/>
      <c r="O82" s="89"/>
      <c r="P82" s="89"/>
      <c r="Q82" s="103"/>
      <c r="R82" s="103"/>
    </row>
    <row r="83" spans="1:22" x14ac:dyDescent="0.25">
      <c r="A83" s="87" t="s">
        <v>46</v>
      </c>
      <c r="B83" s="87"/>
      <c r="C83" s="87"/>
      <c r="F83" s="102"/>
      <c r="G83" s="102"/>
      <c r="H83" s="102"/>
      <c r="I83" s="102"/>
      <c r="J83" s="102"/>
      <c r="L83" s="88"/>
      <c r="M83" s="88"/>
      <c r="N83" s="89"/>
      <c r="O83" s="89"/>
      <c r="P83" s="89"/>
      <c r="Q83" s="103"/>
      <c r="R83" s="103"/>
    </row>
    <row r="84" spans="1:22" s="77" customFormat="1" x14ac:dyDescent="0.25">
      <c r="A84" s="212" t="s">
        <v>907</v>
      </c>
      <c r="B84" s="213"/>
      <c r="C84" s="213"/>
      <c r="D84" s="213"/>
      <c r="E84" s="214"/>
      <c r="F84" s="119" t="s">
        <v>41</v>
      </c>
      <c r="G84" s="215" t="s">
        <v>829</v>
      </c>
      <c r="H84" s="216"/>
      <c r="I84" s="215" t="s">
        <v>43</v>
      </c>
      <c r="J84" s="216"/>
      <c r="K84" s="119" t="s">
        <v>44</v>
      </c>
      <c r="L84" s="120" t="s">
        <v>750</v>
      </c>
      <c r="M84" s="120" t="s">
        <v>751</v>
      </c>
      <c r="N84" s="120" t="s">
        <v>752</v>
      </c>
      <c r="O84" s="111" t="s">
        <v>118</v>
      </c>
      <c r="P84" s="112" t="s">
        <v>790</v>
      </c>
      <c r="V84" s="113"/>
    </row>
    <row r="85" spans="1:22" ht="15" customHeight="1" x14ac:dyDescent="0.25">
      <c r="A85" s="180"/>
      <c r="B85" s="181"/>
      <c r="C85" s="181"/>
      <c r="D85" s="181"/>
      <c r="E85" s="182"/>
      <c r="F85" s="73"/>
      <c r="G85" s="180"/>
      <c r="H85" s="182"/>
      <c r="I85" s="180"/>
      <c r="J85" s="182"/>
      <c r="K85" s="6"/>
      <c r="L85" s="121"/>
      <c r="M85" s="121"/>
      <c r="N85" s="122"/>
      <c r="O85" s="52">
        <f>IFERROR(VLOOKUP('Ef7'!$D85,Tabela21[],2,0),0)</f>
        <v>0</v>
      </c>
      <c r="P85" s="54">
        <f>IFERROR(VLOOKUP('Ef7'!$D85,Tabela21[],3,0),0)</f>
        <v>0</v>
      </c>
    </row>
    <row r="86" spans="1:22" x14ac:dyDescent="0.25">
      <c r="A86" s="180"/>
      <c r="B86" s="181"/>
      <c r="C86" s="181"/>
      <c r="D86" s="181"/>
      <c r="E86" s="182"/>
      <c r="F86" s="73"/>
      <c r="G86" s="180"/>
      <c r="H86" s="182"/>
      <c r="I86" s="180"/>
      <c r="J86" s="182"/>
      <c r="K86" s="6"/>
      <c r="L86" s="121"/>
      <c r="M86" s="121"/>
      <c r="N86" s="122"/>
      <c r="O86" s="52">
        <f>IFERROR(VLOOKUP('Ef7'!$D86,Tabela21[],2,0),0)</f>
        <v>0</v>
      </c>
      <c r="P86" s="54">
        <f>IFERROR(VLOOKUP('Ef7'!$D86,Tabela21[],3,0),0)</f>
        <v>0</v>
      </c>
    </row>
    <row r="87" spans="1:22" x14ac:dyDescent="0.25">
      <c r="A87" s="180"/>
      <c r="B87" s="181"/>
      <c r="C87" s="181"/>
      <c r="D87" s="181"/>
      <c r="E87" s="182"/>
      <c r="F87" s="73"/>
      <c r="G87" s="180"/>
      <c r="H87" s="182"/>
      <c r="I87" s="180"/>
      <c r="J87" s="182"/>
      <c r="K87" s="6"/>
      <c r="L87" s="121"/>
      <c r="M87" s="121"/>
      <c r="N87" s="122"/>
      <c r="O87" s="52">
        <f>IFERROR(VLOOKUP('Ef7'!$D87,Tabela21[],2,0),0)</f>
        <v>0</v>
      </c>
      <c r="P87" s="54">
        <f>IFERROR(VLOOKUP('Ef7'!$D87,Tabela21[],3,0),0)</f>
        <v>0</v>
      </c>
    </row>
    <row r="88" spans="1:22" x14ac:dyDescent="0.25">
      <c r="A88" s="180"/>
      <c r="B88" s="181"/>
      <c r="C88" s="181"/>
      <c r="D88" s="181"/>
      <c r="E88" s="182"/>
      <c r="F88" s="73"/>
      <c r="G88" s="180"/>
      <c r="H88" s="182"/>
      <c r="I88" s="180"/>
      <c r="J88" s="182"/>
      <c r="K88" s="6"/>
      <c r="L88" s="121"/>
      <c r="M88" s="121"/>
      <c r="N88" s="122"/>
      <c r="O88" s="52">
        <f>IFERROR(VLOOKUP('Ef7'!$D88,Tabela21[],2,0),0)</f>
        <v>0</v>
      </c>
      <c r="P88" s="54">
        <f>IFERROR(VLOOKUP('Ef7'!$D88,Tabela21[],3,0),0)</f>
        <v>0</v>
      </c>
    </row>
    <row r="89" spans="1:22" x14ac:dyDescent="0.25">
      <c r="A89" s="180"/>
      <c r="B89" s="181"/>
      <c r="C89" s="181"/>
      <c r="D89" s="181"/>
      <c r="E89" s="182"/>
      <c r="F89" s="73"/>
      <c r="G89" s="180"/>
      <c r="H89" s="182"/>
      <c r="I89" s="180"/>
      <c r="J89" s="182"/>
      <c r="K89" s="6"/>
      <c r="L89" s="121"/>
      <c r="M89" s="121"/>
      <c r="N89" s="122"/>
      <c r="O89" s="52">
        <f>IFERROR(VLOOKUP('Ef7'!$D89,Tabela21[],2,0),0)</f>
        <v>0</v>
      </c>
      <c r="P89" s="54">
        <f>IFERROR(VLOOKUP('Ef7'!$D89,Tabela21[],3,0),0)</f>
        <v>0</v>
      </c>
    </row>
    <row r="90" spans="1:22" x14ac:dyDescent="0.25">
      <c r="A90" s="180"/>
      <c r="B90" s="181"/>
      <c r="C90" s="181"/>
      <c r="D90" s="181"/>
      <c r="E90" s="182"/>
      <c r="F90" s="73"/>
      <c r="G90" s="180"/>
      <c r="H90" s="182"/>
      <c r="I90" s="180"/>
      <c r="J90" s="182"/>
      <c r="K90" s="6"/>
      <c r="L90" s="121"/>
      <c r="M90" s="121"/>
      <c r="N90" s="122"/>
      <c r="O90" s="52">
        <f>IFERROR(VLOOKUP('Ef7'!$D90,Tabela21[],2,0),0)</f>
        <v>0</v>
      </c>
      <c r="P90" s="54">
        <f>IFERROR(VLOOKUP('Ef7'!$D90,Tabela21[],3,0),0)</f>
        <v>0</v>
      </c>
    </row>
    <row r="91" spans="1:22" x14ac:dyDescent="0.25">
      <c r="A91" s="180"/>
      <c r="B91" s="181"/>
      <c r="C91" s="181"/>
      <c r="D91" s="181"/>
      <c r="E91" s="182"/>
      <c r="F91" s="73"/>
      <c r="G91" s="180"/>
      <c r="H91" s="182"/>
      <c r="I91" s="180"/>
      <c r="J91" s="182"/>
      <c r="K91" s="6"/>
      <c r="L91" s="121"/>
      <c r="M91" s="121"/>
      <c r="N91" s="122"/>
      <c r="O91" s="52">
        <f>IFERROR(VLOOKUP('Ef7'!$D91,Tabela21[],2,0),0)</f>
        <v>0</v>
      </c>
      <c r="P91" s="54">
        <f>IFERROR(VLOOKUP('Ef7'!$D91,Tabela21[],3,0),0)</f>
        <v>0</v>
      </c>
    </row>
    <row r="92" spans="1:22" x14ac:dyDescent="0.25">
      <c r="A92" s="180"/>
      <c r="B92" s="181"/>
      <c r="C92" s="181"/>
      <c r="D92" s="181"/>
      <c r="E92" s="182"/>
      <c r="F92" s="73"/>
      <c r="G92" s="180"/>
      <c r="H92" s="182"/>
      <c r="I92" s="180"/>
      <c r="J92" s="182"/>
      <c r="K92" s="6"/>
      <c r="L92" s="121"/>
      <c r="M92" s="121"/>
      <c r="N92" s="122"/>
      <c r="O92" s="52">
        <f>IFERROR(VLOOKUP('Ef7'!$D92,Tabela21[],2,0),0)</f>
        <v>0</v>
      </c>
      <c r="P92" s="54">
        <f>IFERROR(VLOOKUP('Ef7'!$D92,Tabela21[],3,0),0)</f>
        <v>0</v>
      </c>
    </row>
    <row r="93" spans="1:22" x14ac:dyDescent="0.25">
      <c r="A93" s="180"/>
      <c r="B93" s="181"/>
      <c r="C93" s="181"/>
      <c r="D93" s="181"/>
      <c r="E93" s="182"/>
      <c r="F93" s="73"/>
      <c r="G93" s="180"/>
      <c r="H93" s="182"/>
      <c r="I93" s="180"/>
      <c r="J93" s="182"/>
      <c r="K93" s="6"/>
      <c r="L93" s="121"/>
      <c r="M93" s="121"/>
      <c r="N93" s="122"/>
      <c r="O93" s="52">
        <f>IFERROR(VLOOKUP('Ef7'!$D93,Tabela21[],2,0),0)</f>
        <v>0</v>
      </c>
      <c r="P93" s="54">
        <f>IFERROR(VLOOKUP('Ef7'!$D93,Tabela21[],3,0),0)</f>
        <v>0</v>
      </c>
    </row>
    <row r="94" spans="1:22" x14ac:dyDescent="0.25">
      <c r="A94" s="180"/>
      <c r="B94" s="181"/>
      <c r="C94" s="181"/>
      <c r="D94" s="181"/>
      <c r="E94" s="182"/>
      <c r="F94" s="73"/>
      <c r="G94" s="180"/>
      <c r="H94" s="182"/>
      <c r="I94" s="180"/>
      <c r="J94" s="182"/>
      <c r="K94" s="6"/>
      <c r="L94" s="121"/>
      <c r="M94" s="121"/>
      <c r="N94" s="122"/>
      <c r="O94" s="52">
        <f>IFERROR(VLOOKUP('Ef7'!$D94,Tabela21[],2,0),0)</f>
        <v>0</v>
      </c>
      <c r="P94" s="54">
        <f>IFERROR(VLOOKUP('Ef7'!$D94,Tabela21[],3,0),0)</f>
        <v>0</v>
      </c>
    </row>
    <row r="95" spans="1:22" x14ac:dyDescent="0.25">
      <c r="A95" s="180"/>
      <c r="B95" s="181"/>
      <c r="C95" s="181"/>
      <c r="D95" s="181"/>
      <c r="E95" s="182"/>
      <c r="F95" s="73"/>
      <c r="G95" s="180"/>
      <c r="H95" s="182"/>
      <c r="I95" s="180"/>
      <c r="J95" s="182"/>
      <c r="K95" s="6"/>
      <c r="L95" s="121"/>
      <c r="M95" s="121"/>
      <c r="N95" s="122"/>
      <c r="O95" s="52">
        <f>IFERROR(VLOOKUP('Ef7'!$D95,Tabela21[],2,0),0)</f>
        <v>0</v>
      </c>
      <c r="P95" s="54">
        <f>IFERROR(VLOOKUP('Ef7'!$D95,Tabela21[],3,0),0)</f>
        <v>0</v>
      </c>
    </row>
    <row r="96" spans="1:22" x14ac:dyDescent="0.25">
      <c r="A96" s="180"/>
      <c r="B96" s="181"/>
      <c r="C96" s="181"/>
      <c r="D96" s="181"/>
      <c r="E96" s="182"/>
      <c r="F96" s="6"/>
      <c r="G96" s="180"/>
      <c r="H96" s="182"/>
      <c r="I96" s="180"/>
      <c r="J96" s="182"/>
      <c r="K96" s="6"/>
      <c r="L96" s="121"/>
      <c r="M96" s="121"/>
      <c r="N96" s="122"/>
      <c r="O96" s="52">
        <f>IFERROR(VLOOKUP('Ef7'!$D96,Tabela21[],2,0),0)</f>
        <v>0</v>
      </c>
      <c r="P96" s="54">
        <f>IFERROR(VLOOKUP('Ef7'!$D96,Tabela21[],3,0),0)</f>
        <v>0</v>
      </c>
    </row>
    <row r="97" spans="1:22" hidden="1" x14ac:dyDescent="0.25">
      <c r="A97" s="98" t="s">
        <v>756</v>
      </c>
      <c r="B97" s="98"/>
      <c r="C97" s="98"/>
      <c r="D97" s="98"/>
      <c r="E97" s="98"/>
      <c r="F97" s="159">
        <f>SUM(F85:F96)</f>
        <v>0</v>
      </c>
      <c r="G97" s="159"/>
      <c r="H97" s="159"/>
      <c r="I97" s="159"/>
      <c r="J97" s="159"/>
      <c r="K97" s="98"/>
      <c r="L97" s="123"/>
      <c r="M97" s="123"/>
      <c r="N97" s="98"/>
      <c r="O97" s="135">
        <f>IFERROR(VLOOKUP('Ef7'!$D97,Tabela21[],2,0),0)</f>
        <v>0</v>
      </c>
      <c r="P97" s="136">
        <f>IFERROR(VLOOKUP('Ef7'!$D97,Tabela21[],3,0),0)</f>
        <v>0</v>
      </c>
    </row>
    <row r="98" spans="1:22" x14ac:dyDescent="0.25">
      <c r="F98" s="102"/>
      <c r="G98" s="102"/>
      <c r="H98" s="102"/>
      <c r="I98" s="102"/>
      <c r="J98" s="102"/>
      <c r="L98" s="88"/>
      <c r="M98" s="88"/>
      <c r="N98" s="89"/>
      <c r="O98" s="89"/>
      <c r="P98" s="89"/>
      <c r="Q98" s="103"/>
      <c r="R98" s="103"/>
    </row>
    <row r="99" spans="1:22" x14ac:dyDescent="0.25">
      <c r="A99" s="87" t="s">
        <v>34</v>
      </c>
      <c r="B99" s="87"/>
      <c r="C99" s="87"/>
      <c r="F99" s="102"/>
      <c r="G99" s="102"/>
      <c r="H99" s="102"/>
      <c r="I99" s="102"/>
      <c r="J99" s="102"/>
      <c r="L99" s="88"/>
      <c r="M99" s="88"/>
      <c r="N99" s="89"/>
      <c r="O99" s="89"/>
      <c r="P99" s="89"/>
      <c r="Q99" s="103"/>
      <c r="R99" s="103"/>
    </row>
    <row r="100" spans="1:22" s="77" customFormat="1" x14ac:dyDescent="0.25">
      <c r="A100" s="212" t="s">
        <v>47</v>
      </c>
      <c r="B100" s="213"/>
      <c r="C100" s="214"/>
      <c r="D100" s="210" t="s">
        <v>908</v>
      </c>
      <c r="E100" s="211"/>
      <c r="F100" s="119" t="s">
        <v>41</v>
      </c>
      <c r="G100" s="215" t="s">
        <v>42</v>
      </c>
      <c r="H100" s="216"/>
      <c r="I100" s="215" t="s">
        <v>43</v>
      </c>
      <c r="J100" s="216"/>
      <c r="K100" s="119" t="s">
        <v>44</v>
      </c>
      <c r="L100" s="55" t="s">
        <v>783</v>
      </c>
      <c r="M100" s="56" t="s">
        <v>750</v>
      </c>
      <c r="N100" s="56" t="s">
        <v>751</v>
      </c>
      <c r="O100" s="56" t="s">
        <v>752</v>
      </c>
      <c r="P100" s="56" t="s">
        <v>753</v>
      </c>
      <c r="Q100" s="111" t="s">
        <v>118</v>
      </c>
      <c r="R100" s="112" t="s">
        <v>790</v>
      </c>
      <c r="V100" s="113"/>
    </row>
    <row r="101" spans="1:22" ht="48" customHeight="1" x14ac:dyDescent="0.25">
      <c r="A101" s="180"/>
      <c r="B101" s="181"/>
      <c r="C101" s="182"/>
      <c r="D101" s="180"/>
      <c r="E101" s="182"/>
      <c r="F101" s="73"/>
      <c r="G101" s="180"/>
      <c r="H101" s="182"/>
      <c r="I101" s="218"/>
      <c r="J101" s="219"/>
      <c r="K101" s="75"/>
      <c r="L101" s="2">
        <f>IFERROR(VLOOKUP('Ef7'!$A101,TFunçõesAdm[],3,0),40)</f>
        <v>40</v>
      </c>
      <c r="M101" s="3"/>
      <c r="N101" s="95"/>
      <c r="O101" s="95"/>
      <c r="P101" s="95"/>
      <c r="Q101" s="52">
        <v>0</v>
      </c>
      <c r="R101" s="54">
        <f>IFERROR(VLOOKUP(A101,TFunçõesAdm[],2,FALSE),0)</f>
        <v>0</v>
      </c>
    </row>
    <row r="102" spans="1:22" x14ac:dyDescent="0.25">
      <c r="A102" s="180"/>
      <c r="B102" s="181"/>
      <c r="C102" s="182"/>
      <c r="D102" s="180"/>
      <c r="E102" s="182"/>
      <c r="F102" s="73"/>
      <c r="G102" s="180"/>
      <c r="H102" s="182"/>
      <c r="I102" s="218"/>
      <c r="J102" s="219"/>
      <c r="K102" s="75"/>
      <c r="L102" s="2">
        <f>IFERROR(VLOOKUP('Ef7'!$A102,TFunçõesAdm[],3,0),40)</f>
        <v>40</v>
      </c>
      <c r="M102" s="3"/>
      <c r="N102" s="95"/>
      <c r="O102" s="95"/>
      <c r="P102" s="95"/>
      <c r="Q102" s="52">
        <v>0</v>
      </c>
      <c r="R102" s="54">
        <f>IFERROR(VLOOKUP(A102,TFunçõesAdm[],2,FALSE),0)</f>
        <v>0</v>
      </c>
    </row>
    <row r="103" spans="1:22" ht="24" customHeight="1" x14ac:dyDescent="0.25">
      <c r="A103" s="180"/>
      <c r="B103" s="181"/>
      <c r="C103" s="182"/>
      <c r="D103" s="180"/>
      <c r="E103" s="182"/>
      <c r="F103" s="73"/>
      <c r="G103" s="180"/>
      <c r="H103" s="182"/>
      <c r="I103" s="218"/>
      <c r="J103" s="219"/>
      <c r="K103" s="75"/>
      <c r="L103" s="2">
        <f>IFERROR(VLOOKUP('Ef7'!$A103,TFunçõesAdm[],3,0),40)</f>
        <v>40</v>
      </c>
      <c r="M103" s="3"/>
      <c r="N103" s="95"/>
      <c r="O103" s="95"/>
      <c r="P103" s="95"/>
      <c r="Q103" s="52">
        <v>0</v>
      </c>
      <c r="R103" s="54">
        <f>IFERROR(VLOOKUP(A103,TFunçõesAdm[],2,FALSE),0)</f>
        <v>0</v>
      </c>
    </row>
    <row r="104" spans="1:22" x14ac:dyDescent="0.25">
      <c r="A104" s="180"/>
      <c r="B104" s="181"/>
      <c r="C104" s="182"/>
      <c r="D104" s="180"/>
      <c r="E104" s="182"/>
      <c r="F104" s="73"/>
      <c r="G104" s="180"/>
      <c r="H104" s="182"/>
      <c r="I104" s="218"/>
      <c r="J104" s="219"/>
      <c r="K104" s="75"/>
      <c r="L104" s="2">
        <f>IFERROR(VLOOKUP('Ef7'!$A104,TFunçõesAdm[],3,0),40)</f>
        <v>40</v>
      </c>
      <c r="M104" s="3"/>
      <c r="N104" s="95"/>
      <c r="O104" s="95"/>
      <c r="P104" s="95"/>
      <c r="Q104" s="52">
        <v>0</v>
      </c>
      <c r="R104" s="54">
        <f>IFERROR(VLOOKUP(A104,TFunçõesAdm[],2,FALSE),0)</f>
        <v>0</v>
      </c>
    </row>
    <row r="105" spans="1:22" x14ac:dyDescent="0.25">
      <c r="A105" s="180"/>
      <c r="B105" s="181"/>
      <c r="C105" s="182"/>
      <c r="D105" s="180"/>
      <c r="E105" s="182"/>
      <c r="F105" s="73"/>
      <c r="G105" s="180"/>
      <c r="H105" s="182"/>
      <c r="I105" s="218"/>
      <c r="J105" s="219"/>
      <c r="K105" s="75"/>
      <c r="L105" s="2">
        <f>IFERROR(VLOOKUP('Ef7'!$A105,TFunçõesAdm[],3,0),40)</f>
        <v>40</v>
      </c>
      <c r="M105" s="3"/>
      <c r="N105" s="95"/>
      <c r="O105" s="95"/>
      <c r="P105" s="95"/>
      <c r="Q105" s="52">
        <v>0</v>
      </c>
      <c r="R105" s="54">
        <f>IFERROR(VLOOKUP(A105,TFunçõesAdm[],2,FALSE),0)</f>
        <v>0</v>
      </c>
    </row>
    <row r="106" spans="1:22" x14ac:dyDescent="0.25">
      <c r="A106" s="180"/>
      <c r="B106" s="181"/>
      <c r="C106" s="182"/>
      <c r="D106" s="180"/>
      <c r="E106" s="182"/>
      <c r="F106" s="73"/>
      <c r="G106" s="180"/>
      <c r="H106" s="182"/>
      <c r="I106" s="218"/>
      <c r="J106" s="219"/>
      <c r="K106" s="75"/>
      <c r="L106" s="2">
        <f>IFERROR(VLOOKUP('Ef7'!$A106,TFunçõesAdm[],3,0),40)</f>
        <v>40</v>
      </c>
      <c r="M106" s="3"/>
      <c r="N106" s="95"/>
      <c r="O106" s="95"/>
      <c r="P106" s="95"/>
      <c r="Q106" s="52">
        <v>0</v>
      </c>
      <c r="R106" s="54">
        <f>IFERROR(VLOOKUP(A106,TFunçõesAdm[],2,FALSE),0)</f>
        <v>0</v>
      </c>
    </row>
    <row r="107" spans="1:22" x14ac:dyDescent="0.25">
      <c r="A107" s="180"/>
      <c r="B107" s="181"/>
      <c r="C107" s="182"/>
      <c r="D107" s="180"/>
      <c r="E107" s="182"/>
      <c r="F107" s="73"/>
      <c r="G107" s="180"/>
      <c r="H107" s="182"/>
      <c r="I107" s="218"/>
      <c r="J107" s="219"/>
      <c r="K107" s="75"/>
      <c r="L107" s="2">
        <f>IFERROR(VLOOKUP('Ef7'!$A107,TFunçõesAdm[],3,0),40)</f>
        <v>40</v>
      </c>
      <c r="M107" s="3"/>
      <c r="N107" s="95"/>
      <c r="O107" s="95"/>
      <c r="P107" s="95"/>
      <c r="Q107" s="52">
        <v>0</v>
      </c>
      <c r="R107" s="54">
        <f>IFERROR(VLOOKUP(A107,TFunçõesAdm[],2,FALSE),0)</f>
        <v>0</v>
      </c>
    </row>
    <row r="108" spans="1:22" x14ac:dyDescent="0.25">
      <c r="A108" s="180"/>
      <c r="B108" s="181"/>
      <c r="C108" s="182"/>
      <c r="D108" s="180"/>
      <c r="E108" s="182"/>
      <c r="F108" s="73"/>
      <c r="G108" s="180"/>
      <c r="H108" s="182"/>
      <c r="I108" s="218"/>
      <c r="J108" s="219"/>
      <c r="K108" s="75"/>
      <c r="L108" s="2">
        <f>IFERROR(VLOOKUP('Ef7'!$A108,TFunçõesAdm[],3,0),40)</f>
        <v>40</v>
      </c>
      <c r="M108" s="3"/>
      <c r="N108" s="95"/>
      <c r="O108" s="95"/>
      <c r="P108" s="95"/>
      <c r="Q108" s="52">
        <v>0</v>
      </c>
      <c r="R108" s="54">
        <f>IFERROR(VLOOKUP(A108,TFunçõesAdm[],2,FALSE),0)</f>
        <v>0</v>
      </c>
    </row>
    <row r="109" spans="1:22" x14ac:dyDescent="0.25">
      <c r="A109" s="180"/>
      <c r="B109" s="181"/>
      <c r="C109" s="182"/>
      <c r="D109" s="180"/>
      <c r="E109" s="182"/>
      <c r="F109" s="73"/>
      <c r="G109" s="180"/>
      <c r="H109" s="182"/>
      <c r="I109" s="218"/>
      <c r="J109" s="219"/>
      <c r="K109" s="75"/>
      <c r="L109" s="2">
        <f>IFERROR(VLOOKUP('Ef7'!$A109,TFunçõesAdm[],3,0),40)</f>
        <v>40</v>
      </c>
      <c r="M109" s="3"/>
      <c r="N109" s="95"/>
      <c r="O109" s="95"/>
      <c r="P109" s="95"/>
      <c r="Q109" s="52">
        <v>0</v>
      </c>
      <c r="R109" s="54">
        <f>IFERROR(VLOOKUP(A109,TFunçõesAdm[],2,FALSE),0)</f>
        <v>0</v>
      </c>
    </row>
    <row r="110" spans="1:22" x14ac:dyDescent="0.25">
      <c r="A110" s="180"/>
      <c r="B110" s="181"/>
      <c r="C110" s="182"/>
      <c r="D110" s="180"/>
      <c r="E110" s="182"/>
      <c r="F110" s="73"/>
      <c r="G110" s="180"/>
      <c r="H110" s="182"/>
      <c r="I110" s="218"/>
      <c r="J110" s="219"/>
      <c r="K110" s="75"/>
      <c r="L110" s="2">
        <f>IFERROR(VLOOKUP('Ef7'!$A110,TFunçõesAdm[],3,0),40)</f>
        <v>40</v>
      </c>
      <c r="M110" s="3"/>
      <c r="N110" s="95"/>
      <c r="O110" s="95"/>
      <c r="P110" s="95"/>
      <c r="Q110" s="52">
        <v>0</v>
      </c>
      <c r="R110" s="54">
        <f>IFERROR(VLOOKUP(A110,TFunçõesAdm[],2,FALSE),0)</f>
        <v>0</v>
      </c>
    </row>
    <row r="111" spans="1:22" x14ac:dyDescent="0.25">
      <c r="A111" s="180"/>
      <c r="B111" s="181"/>
      <c r="C111" s="182"/>
      <c r="D111" s="180"/>
      <c r="E111" s="182"/>
      <c r="F111" s="73"/>
      <c r="G111" s="180"/>
      <c r="H111" s="182"/>
      <c r="I111" s="218"/>
      <c r="J111" s="219"/>
      <c r="K111" s="75"/>
      <c r="L111" s="2">
        <f>IFERROR(VLOOKUP('Ef7'!$A111,TFunçõesAdm[],3,0),40)</f>
        <v>40</v>
      </c>
      <c r="M111" s="3"/>
      <c r="N111" s="95"/>
      <c r="O111" s="95"/>
      <c r="P111" s="95"/>
      <c r="Q111" s="52">
        <v>0</v>
      </c>
      <c r="R111" s="54">
        <f>IFERROR(VLOOKUP(A111,TFunçõesAdm[],2,FALSE),0)</f>
        <v>0</v>
      </c>
    </row>
    <row r="112" spans="1:22" x14ac:dyDescent="0.25">
      <c r="A112" s="180"/>
      <c r="B112" s="181"/>
      <c r="C112" s="182"/>
      <c r="D112" s="180"/>
      <c r="E112" s="182"/>
      <c r="F112" s="154"/>
      <c r="G112" s="180"/>
      <c r="H112" s="182"/>
      <c r="I112" s="218"/>
      <c r="J112" s="219"/>
      <c r="K112" s="6"/>
      <c r="L112" s="4">
        <f>IFERROR(VLOOKUP('Ef7'!$A112,TFunçõesAdm[],3,0),40)</f>
        <v>40</v>
      </c>
      <c r="M112" s="5"/>
      <c r="N112" s="96"/>
      <c r="O112" s="96"/>
      <c r="P112" s="96"/>
      <c r="Q112" s="114">
        <v>0</v>
      </c>
      <c r="R112" s="114">
        <f>IFERROR(VLOOKUP(A112,TFunçõesAdm[],2,FALSE),0)</f>
        <v>0</v>
      </c>
    </row>
    <row r="113" spans="1:22" hidden="1" x14ac:dyDescent="0.25">
      <c r="A113" s="89" t="s">
        <v>1363</v>
      </c>
      <c r="B113" s="89"/>
      <c r="C113" s="89"/>
      <c r="D113" s="89"/>
      <c r="E113" s="89"/>
      <c r="F113" s="124">
        <f>SUM(F101:F112)</f>
        <v>0</v>
      </c>
      <c r="G113" s="124"/>
      <c r="H113" s="89"/>
      <c r="I113" s="124"/>
      <c r="J113" s="124"/>
      <c r="K113" s="89"/>
      <c r="L113" s="104">
        <f>MIN('Ef7'!$L$101:$L$112)</f>
        <v>40</v>
      </c>
      <c r="M113" s="88"/>
      <c r="N113" s="89"/>
      <c r="O113" s="89"/>
      <c r="P113" s="89"/>
      <c r="Q113" s="89"/>
      <c r="R113" s="89"/>
    </row>
    <row r="114" spans="1:22" x14ac:dyDescent="0.25">
      <c r="A114" s="87"/>
      <c r="B114" s="87"/>
      <c r="C114" s="87"/>
      <c r="F114" s="102"/>
      <c r="G114" s="102"/>
      <c r="I114" s="102"/>
      <c r="J114" s="102"/>
    </row>
    <row r="115" spans="1:22" x14ac:dyDescent="0.25">
      <c r="A115" s="87" t="s">
        <v>48</v>
      </c>
      <c r="B115" s="87"/>
      <c r="C115" s="87"/>
      <c r="F115" s="102"/>
      <c r="G115" s="102"/>
      <c r="I115" s="102"/>
      <c r="J115" s="102"/>
    </row>
    <row r="116" spans="1:22" s="83" customFormat="1" x14ac:dyDescent="0.25">
      <c r="A116" s="220" t="s">
        <v>49</v>
      </c>
      <c r="B116" s="221"/>
      <c r="C116" s="221"/>
      <c r="D116" s="221"/>
      <c r="E116" s="222"/>
      <c r="F116" s="158" t="s">
        <v>41</v>
      </c>
      <c r="G116" s="223" t="s">
        <v>42</v>
      </c>
      <c r="H116" s="224"/>
      <c r="I116" s="223" t="s">
        <v>43</v>
      </c>
      <c r="J116" s="224"/>
      <c r="K116" s="158" t="s">
        <v>44</v>
      </c>
      <c r="L116" s="82"/>
      <c r="M116" s="82"/>
      <c r="V116" s="85"/>
    </row>
    <row r="117" spans="1:22" x14ac:dyDescent="0.25">
      <c r="A117" s="180"/>
      <c r="B117" s="181"/>
      <c r="C117" s="181"/>
      <c r="D117" s="181"/>
      <c r="E117" s="182"/>
      <c r="F117" s="6">
        <v>0</v>
      </c>
      <c r="G117" s="180"/>
      <c r="H117" s="182"/>
      <c r="I117" s="180"/>
      <c r="J117" s="182"/>
      <c r="K117" s="6"/>
    </row>
    <row r="118" spans="1:22" x14ac:dyDescent="0.25">
      <c r="A118" s="180"/>
      <c r="B118" s="181"/>
      <c r="C118" s="181"/>
      <c r="D118" s="181"/>
      <c r="E118" s="182"/>
      <c r="F118" s="6"/>
      <c r="G118" s="180"/>
      <c r="H118" s="182"/>
      <c r="I118" s="180"/>
      <c r="J118" s="182"/>
      <c r="K118" s="6"/>
    </row>
    <row r="119" spans="1:22" hidden="1" x14ac:dyDescent="0.25">
      <c r="A119" s="89" t="s">
        <v>1363</v>
      </c>
      <c r="B119" s="89"/>
      <c r="C119" s="89"/>
      <c r="D119" s="89"/>
      <c r="E119" s="89"/>
      <c r="F119" s="124">
        <f>SUM(F117:F118)</f>
        <v>0</v>
      </c>
      <c r="G119" s="124"/>
      <c r="H119" s="124"/>
      <c r="I119" s="124"/>
      <c r="J119" s="124"/>
      <c r="K119" s="89"/>
    </row>
    <row r="120" spans="1:22" x14ac:dyDescent="0.25">
      <c r="F120" s="102"/>
      <c r="G120" s="102"/>
      <c r="H120" s="102"/>
      <c r="I120" s="102"/>
      <c r="J120" s="102"/>
    </row>
    <row r="121" spans="1:22" x14ac:dyDescent="0.25">
      <c r="A121" s="87" t="s">
        <v>50</v>
      </c>
      <c r="B121" s="87"/>
      <c r="C121" s="87"/>
      <c r="F121" s="102"/>
      <c r="G121" s="102"/>
      <c r="H121" s="102"/>
      <c r="I121" s="102"/>
      <c r="J121" s="102"/>
    </row>
    <row r="122" spans="1:22" s="82" customFormat="1" x14ac:dyDescent="0.25">
      <c r="A122" s="212" t="s">
        <v>51</v>
      </c>
      <c r="B122" s="213"/>
      <c r="C122" s="213"/>
      <c r="D122" s="213"/>
      <c r="E122" s="214"/>
      <c r="F122" s="119" t="s">
        <v>41</v>
      </c>
      <c r="G122" s="223" t="s">
        <v>42</v>
      </c>
      <c r="H122" s="224"/>
      <c r="I122" s="215" t="s">
        <v>43</v>
      </c>
      <c r="J122" s="216"/>
      <c r="K122" s="137" t="s">
        <v>44</v>
      </c>
      <c r="V122" s="138"/>
    </row>
    <row r="123" spans="1:22" x14ac:dyDescent="0.25">
      <c r="A123" s="180"/>
      <c r="B123" s="181"/>
      <c r="C123" s="181"/>
      <c r="D123" s="181"/>
      <c r="E123" s="182"/>
      <c r="F123" s="73">
        <v>0</v>
      </c>
      <c r="G123" s="180"/>
      <c r="H123" s="182"/>
      <c r="I123" s="180"/>
      <c r="J123" s="182"/>
      <c r="K123" s="76"/>
    </row>
    <row r="124" spans="1:22" x14ac:dyDescent="0.25">
      <c r="A124" s="180"/>
      <c r="B124" s="181"/>
      <c r="C124" s="181"/>
      <c r="D124" s="181"/>
      <c r="E124" s="182"/>
      <c r="F124" s="154">
        <v>0</v>
      </c>
      <c r="G124" s="180"/>
      <c r="H124" s="182"/>
      <c r="I124" s="180"/>
      <c r="J124" s="182"/>
      <c r="K124" s="6"/>
    </row>
    <row r="125" spans="1:22" hidden="1" x14ac:dyDescent="0.25">
      <c r="A125" s="89" t="s">
        <v>1363</v>
      </c>
      <c r="B125" s="89"/>
      <c r="C125" s="89"/>
      <c r="D125" s="89"/>
      <c r="E125" s="89"/>
      <c r="F125" s="124">
        <f>SUM('Ef7'!$F$123:$F$124)</f>
        <v>0</v>
      </c>
      <c r="G125" s="124"/>
      <c r="H125" s="89"/>
      <c r="I125" s="89"/>
      <c r="J125" s="89"/>
      <c r="K125" s="89"/>
    </row>
    <row r="127" spans="1:22" x14ac:dyDescent="0.25">
      <c r="A127" s="87" t="s">
        <v>903</v>
      </c>
      <c r="K127" s="102" t="s">
        <v>904</v>
      </c>
    </row>
    <row r="128" spans="1:22" x14ac:dyDescent="0.25">
      <c r="A128" s="225"/>
      <c r="B128" s="226"/>
      <c r="C128" s="226"/>
      <c r="D128" s="226"/>
      <c r="E128" s="226"/>
      <c r="F128" s="226"/>
      <c r="G128" s="226"/>
      <c r="H128" s="226"/>
      <c r="I128" s="226"/>
      <c r="J128" s="227"/>
      <c r="K128" s="231">
        <v>0</v>
      </c>
    </row>
    <row r="129" spans="1:22" x14ac:dyDescent="0.25">
      <c r="A129" s="228"/>
      <c r="B129" s="229"/>
      <c r="C129" s="229"/>
      <c r="D129" s="229"/>
      <c r="E129" s="229"/>
      <c r="F129" s="229"/>
      <c r="G129" s="229"/>
      <c r="H129" s="229"/>
      <c r="I129" s="229"/>
      <c r="J129" s="230"/>
      <c r="K129" s="232"/>
    </row>
    <row r="130" spans="1:22" hidden="1" x14ac:dyDescent="0.25">
      <c r="A130" s="89" t="s">
        <v>756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124">
        <f>SUM(K128:K129)</f>
        <v>0</v>
      </c>
    </row>
    <row r="132" spans="1:22" x14ac:dyDescent="0.25">
      <c r="A132" s="87" t="s">
        <v>6</v>
      </c>
      <c r="B132" s="87"/>
      <c r="C132" s="87"/>
    </row>
    <row r="133" spans="1:22" s="141" customFormat="1" ht="30" x14ac:dyDescent="0.25">
      <c r="A133" s="158" t="s">
        <v>32</v>
      </c>
      <c r="B133" s="158" t="s">
        <v>33</v>
      </c>
      <c r="C133" s="158" t="s">
        <v>23</v>
      </c>
      <c r="D133" s="139" t="s">
        <v>24</v>
      </c>
      <c r="E133" s="139" t="s">
        <v>25</v>
      </c>
      <c r="F133" s="139" t="s">
        <v>26</v>
      </c>
      <c r="G133" s="139" t="s">
        <v>27</v>
      </c>
      <c r="H133" s="139" t="s">
        <v>28</v>
      </c>
      <c r="I133" s="139" t="s">
        <v>29</v>
      </c>
      <c r="J133" s="158" t="s">
        <v>902</v>
      </c>
      <c r="K133" s="139" t="s">
        <v>905</v>
      </c>
      <c r="L133" s="140"/>
      <c r="V133" s="142"/>
    </row>
    <row r="134" spans="1:22" x14ac:dyDescent="0.25">
      <c r="A134" s="143">
        <f>L32</f>
        <v>0</v>
      </c>
      <c r="B134" s="143">
        <f>K32</f>
        <v>0</v>
      </c>
      <c r="C134" s="143">
        <f>K50</f>
        <v>0</v>
      </c>
      <c r="D134" s="143">
        <f>F65</f>
        <v>0</v>
      </c>
      <c r="E134" s="143">
        <f>F81</f>
        <v>0</v>
      </c>
      <c r="F134" s="143">
        <f>F97</f>
        <v>0</v>
      </c>
      <c r="G134" s="143">
        <f>F113</f>
        <v>0</v>
      </c>
      <c r="H134" s="143">
        <f>F119</f>
        <v>0</v>
      </c>
      <c r="I134" s="143">
        <f>F125</f>
        <v>0</v>
      </c>
      <c r="J134" s="144">
        <f>K130</f>
        <v>0</v>
      </c>
      <c r="K134" s="143">
        <f>SUM(A134:J134)</f>
        <v>0</v>
      </c>
      <c r="L134" s="145"/>
      <c r="M134" s="102"/>
      <c r="N134" s="102"/>
      <c r="O134" s="102"/>
    </row>
    <row r="136" spans="1:22" x14ac:dyDescent="0.25">
      <c r="A136" s="146" t="s">
        <v>52</v>
      </c>
      <c r="B136" s="147"/>
      <c r="C136" s="147"/>
      <c r="D136" s="147" t="s">
        <v>53</v>
      </c>
      <c r="E136" s="147"/>
      <c r="F136" s="147"/>
      <c r="G136" s="147"/>
      <c r="H136" s="147"/>
      <c r="I136" s="147"/>
      <c r="J136" s="147"/>
      <c r="K136" s="148"/>
    </row>
    <row r="138" spans="1:22" x14ac:dyDescent="0.25">
      <c r="D138" s="83" t="s">
        <v>54</v>
      </c>
      <c r="E138" s="83"/>
    </row>
    <row r="139" spans="1:22" x14ac:dyDescent="0.25">
      <c r="A139" s="149" t="s">
        <v>55</v>
      </c>
      <c r="B139" s="147"/>
      <c r="C139" s="148"/>
      <c r="D139" s="147" t="s">
        <v>56</v>
      </c>
      <c r="E139" s="147"/>
      <c r="F139" s="147"/>
      <c r="G139" s="147"/>
      <c r="H139" s="147"/>
      <c r="I139" s="149" t="s">
        <v>57</v>
      </c>
      <c r="J139" s="148"/>
      <c r="K139" s="148" t="s">
        <v>58</v>
      </c>
    </row>
    <row r="140" spans="1:22" x14ac:dyDescent="0.25">
      <c r="A140" s="149" t="s">
        <v>59</v>
      </c>
      <c r="B140" s="147"/>
      <c r="C140" s="148"/>
      <c r="D140" s="150" t="s">
        <v>62</v>
      </c>
      <c r="E140" s="150"/>
      <c r="F140" s="150"/>
      <c r="G140" s="150"/>
      <c r="H140" s="150"/>
      <c r="I140" s="149"/>
      <c r="J140" s="148"/>
      <c r="K140" s="148" t="e">
        <f>VLOOKUP(H5,TChefeDpto[],2,0)</f>
        <v>#N/A</v>
      </c>
      <c r="N140" s="79"/>
    </row>
    <row r="141" spans="1:22" x14ac:dyDescent="0.25">
      <c r="A141" s="149" t="s">
        <v>32</v>
      </c>
      <c r="B141" s="147"/>
      <c r="C141" s="148"/>
      <c r="D141" s="147" t="s">
        <v>63</v>
      </c>
      <c r="E141" s="147"/>
      <c r="F141" s="147"/>
      <c r="G141" s="147"/>
      <c r="H141" s="147"/>
      <c r="I141" s="149"/>
      <c r="J141" s="148"/>
      <c r="K141" s="148" t="s">
        <v>66</v>
      </c>
      <c r="N141" s="79"/>
    </row>
    <row r="142" spans="1:22" x14ac:dyDescent="0.25">
      <c r="A142" s="149" t="s">
        <v>60</v>
      </c>
      <c r="B142" s="147"/>
      <c r="C142" s="148"/>
      <c r="D142" s="147" t="s">
        <v>64</v>
      </c>
      <c r="E142" s="147"/>
      <c r="F142" s="147"/>
      <c r="G142" s="147"/>
      <c r="H142" s="147"/>
      <c r="I142" s="149"/>
      <c r="J142" s="148"/>
      <c r="K142" s="148" t="s">
        <v>67</v>
      </c>
      <c r="N142" s="79"/>
    </row>
    <row r="143" spans="1:22" x14ac:dyDescent="0.25">
      <c r="A143" s="149" t="s">
        <v>61</v>
      </c>
      <c r="B143" s="147"/>
      <c r="C143" s="148"/>
      <c r="D143" s="151" t="s">
        <v>65</v>
      </c>
      <c r="E143" s="151"/>
      <c r="F143" s="151"/>
      <c r="G143" s="151"/>
      <c r="H143" s="151"/>
      <c r="I143" s="149"/>
      <c r="J143" s="148"/>
      <c r="K143" s="148" t="s">
        <v>68</v>
      </c>
      <c r="N143" s="79"/>
    </row>
    <row r="144" spans="1:22" x14ac:dyDescent="0.25">
      <c r="N144" s="79"/>
    </row>
    <row r="145" spans="1:23" x14ac:dyDescent="0.25">
      <c r="N145" s="79"/>
    </row>
    <row r="146" spans="1:23" x14ac:dyDescent="0.25">
      <c r="A146" s="65" t="s">
        <v>909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3" x14ac:dyDescent="0.25">
      <c r="A147" s="66" t="s">
        <v>926</v>
      </c>
      <c r="B147" s="66" t="s">
        <v>910</v>
      </c>
      <c r="C147" s="67" t="s">
        <v>911</v>
      </c>
      <c r="D147" s="68" t="s">
        <v>912</v>
      </c>
      <c r="E147" s="69"/>
      <c r="F147" s="69" t="s">
        <v>913</v>
      </c>
      <c r="G147" s="66" t="s">
        <v>914</v>
      </c>
      <c r="H147" s="66" t="s">
        <v>915</v>
      </c>
      <c r="I147" s="66" t="s">
        <v>916</v>
      </c>
      <c r="J147" s="66" t="s">
        <v>917</v>
      </c>
      <c r="K147" s="66" t="s">
        <v>918</v>
      </c>
      <c r="Q147" s="66" t="s">
        <v>919</v>
      </c>
      <c r="R147" s="66" t="s">
        <v>920</v>
      </c>
      <c r="S147" s="66" t="s">
        <v>921</v>
      </c>
      <c r="T147" s="66" t="s">
        <v>922</v>
      </c>
      <c r="U147" s="66" t="s">
        <v>923</v>
      </c>
      <c r="V147" s="66" t="s">
        <v>924</v>
      </c>
      <c r="W147" s="66" t="s">
        <v>925</v>
      </c>
    </row>
    <row r="148" spans="1:23" x14ac:dyDescent="0.25">
      <c r="A148" s="26" t="e">
        <f>A8</f>
        <v>#N/A</v>
      </c>
      <c r="B148" s="26">
        <f>A5</f>
        <v>0</v>
      </c>
      <c r="C148" s="26" t="e">
        <f>D8</f>
        <v>#N/A</v>
      </c>
      <c r="D148" s="70" t="e">
        <f>H8</f>
        <v>#N/A</v>
      </c>
      <c r="E148" s="70" t="e">
        <f>I8</f>
        <v>#N/A</v>
      </c>
      <c r="F148" s="71">
        <f>SUM(H12:I21)</f>
        <v>0</v>
      </c>
      <c r="G148" s="71">
        <f>SUM(H23:I31)</f>
        <v>0</v>
      </c>
      <c r="H148" s="71">
        <f>B134</f>
        <v>0</v>
      </c>
      <c r="I148" s="71">
        <f>C134</f>
        <v>0</v>
      </c>
      <c r="J148" s="71">
        <f>E134</f>
        <v>0</v>
      </c>
      <c r="K148" s="71">
        <f>F134</f>
        <v>0</v>
      </c>
      <c r="Q148" s="71">
        <v>0</v>
      </c>
      <c r="R148" s="71">
        <f>D134</f>
        <v>0</v>
      </c>
      <c r="S148" s="71">
        <f>G134</f>
        <v>0</v>
      </c>
      <c r="T148" s="71">
        <f>J134</f>
        <v>0</v>
      </c>
      <c r="U148" s="71">
        <f>H134</f>
        <v>0</v>
      </c>
      <c r="V148" s="71">
        <f>I134</f>
        <v>0</v>
      </c>
      <c r="W148" s="71">
        <f>SUM(F148:V148)</f>
        <v>0</v>
      </c>
    </row>
  </sheetData>
  <sheetProtection sheet="1" formatCells="0" formatColumns="0" formatRows="0"/>
  <mergeCells count="336">
    <mergeCell ref="A124:E124"/>
    <mergeCell ref="G124:H124"/>
    <mergeCell ref="I124:J124"/>
    <mergeCell ref="A128:J129"/>
    <mergeCell ref="K128:K129"/>
    <mergeCell ref="A122:E122"/>
    <mergeCell ref="G122:H122"/>
    <mergeCell ref="I122:J122"/>
    <mergeCell ref="A123:E123"/>
    <mergeCell ref="G123:H123"/>
    <mergeCell ref="I123:J123"/>
    <mergeCell ref="A117:E117"/>
    <mergeCell ref="G117:H117"/>
    <mergeCell ref="I117:J117"/>
    <mergeCell ref="A118:E118"/>
    <mergeCell ref="G118:H118"/>
    <mergeCell ref="I118:J118"/>
    <mergeCell ref="A112:C112"/>
    <mergeCell ref="D112:E112"/>
    <mergeCell ref="G112:H112"/>
    <mergeCell ref="I112:J112"/>
    <mergeCell ref="A116:E116"/>
    <mergeCell ref="G116:H116"/>
    <mergeCell ref="I116:J116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5:E95"/>
    <mergeCell ref="G95:H95"/>
    <mergeCell ref="I95:J95"/>
    <mergeCell ref="A96:E96"/>
    <mergeCell ref="G96:H96"/>
    <mergeCell ref="I96:J96"/>
    <mergeCell ref="A93:E93"/>
    <mergeCell ref="G93:H93"/>
    <mergeCell ref="I93:J93"/>
    <mergeCell ref="A94:E94"/>
    <mergeCell ref="G94:H94"/>
    <mergeCell ref="I94:J94"/>
    <mergeCell ref="A91:E91"/>
    <mergeCell ref="G91:H91"/>
    <mergeCell ref="I91:J91"/>
    <mergeCell ref="A92:E92"/>
    <mergeCell ref="G92:H92"/>
    <mergeCell ref="I92:J92"/>
    <mergeCell ref="A89:E89"/>
    <mergeCell ref="G89:H89"/>
    <mergeCell ref="I89:J89"/>
    <mergeCell ref="A90:E90"/>
    <mergeCell ref="G90:H90"/>
    <mergeCell ref="I90:J90"/>
    <mergeCell ref="A87:E87"/>
    <mergeCell ref="G87:H87"/>
    <mergeCell ref="I87:J87"/>
    <mergeCell ref="A88:E88"/>
    <mergeCell ref="G88:H88"/>
    <mergeCell ref="I88:J88"/>
    <mergeCell ref="A85:E85"/>
    <mergeCell ref="G85:H85"/>
    <mergeCell ref="I85:J85"/>
    <mergeCell ref="A86:E86"/>
    <mergeCell ref="G86:H86"/>
    <mergeCell ref="I86:J86"/>
    <mergeCell ref="A80:C80"/>
    <mergeCell ref="D80:E80"/>
    <mergeCell ref="G80:H80"/>
    <mergeCell ref="A84:E84"/>
    <mergeCell ref="G84:H84"/>
    <mergeCell ref="I84:J84"/>
    <mergeCell ref="A78:C78"/>
    <mergeCell ref="D78:E78"/>
    <mergeCell ref="G78:H78"/>
    <mergeCell ref="A79:C79"/>
    <mergeCell ref="D79:E79"/>
    <mergeCell ref="G79:H79"/>
    <mergeCell ref="A76:C76"/>
    <mergeCell ref="D76:E76"/>
    <mergeCell ref="G76:H76"/>
    <mergeCell ref="A77:C77"/>
    <mergeCell ref="D77:E77"/>
    <mergeCell ref="G77:H77"/>
    <mergeCell ref="A74:C74"/>
    <mergeCell ref="D74:E74"/>
    <mergeCell ref="G74:H74"/>
    <mergeCell ref="A75:C75"/>
    <mergeCell ref="D75:E75"/>
    <mergeCell ref="G75:H75"/>
    <mergeCell ref="A72:C72"/>
    <mergeCell ref="D72:E72"/>
    <mergeCell ref="G72:H72"/>
    <mergeCell ref="A73:C73"/>
    <mergeCell ref="D73:E73"/>
    <mergeCell ref="G73:H73"/>
    <mergeCell ref="A70:C70"/>
    <mergeCell ref="D70:E70"/>
    <mergeCell ref="G70:H70"/>
    <mergeCell ref="A71:C71"/>
    <mergeCell ref="D71:E71"/>
    <mergeCell ref="G71:H71"/>
    <mergeCell ref="A64:C64"/>
    <mergeCell ref="D64:E64"/>
    <mergeCell ref="G64:H64"/>
    <mergeCell ref="I64:J64"/>
    <mergeCell ref="D68:H68"/>
    <mergeCell ref="A69:C69"/>
    <mergeCell ref="D69:E69"/>
    <mergeCell ref="G69:H69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D55:E55"/>
    <mergeCell ref="I55:J55"/>
    <mergeCell ref="D56:E56"/>
    <mergeCell ref="I56:J56"/>
    <mergeCell ref="D57:E57"/>
    <mergeCell ref="I57:J57"/>
    <mergeCell ref="A53:C53"/>
    <mergeCell ref="D53:E53"/>
    <mergeCell ref="G53:H53"/>
    <mergeCell ref="I53:J53"/>
    <mergeCell ref="A54:C54"/>
    <mergeCell ref="D54:E54"/>
    <mergeCell ref="G54:H54"/>
    <mergeCell ref="I54:J54"/>
    <mergeCell ref="A48:C48"/>
    <mergeCell ref="D48:G48"/>
    <mergeCell ref="I48:J48"/>
    <mergeCell ref="A49:C49"/>
    <mergeCell ref="D49:G49"/>
    <mergeCell ref="I49:J49"/>
    <mergeCell ref="A46:C46"/>
    <mergeCell ref="D46:G46"/>
    <mergeCell ref="I46:J46"/>
    <mergeCell ref="A47:C47"/>
    <mergeCell ref="D47:G47"/>
    <mergeCell ref="I47:J47"/>
    <mergeCell ref="A44:C44"/>
    <mergeCell ref="D44:G44"/>
    <mergeCell ref="I44:J44"/>
    <mergeCell ref="A45:C45"/>
    <mergeCell ref="D45:G45"/>
    <mergeCell ref="I45:J45"/>
    <mergeCell ref="A42:C42"/>
    <mergeCell ref="D42:G42"/>
    <mergeCell ref="I42:J42"/>
    <mergeCell ref="A43:C43"/>
    <mergeCell ref="D43:G43"/>
    <mergeCell ref="I43:J43"/>
    <mergeCell ref="A40:C40"/>
    <mergeCell ref="D40:G40"/>
    <mergeCell ref="I40:J40"/>
    <mergeCell ref="A41:C41"/>
    <mergeCell ref="D41:G41"/>
    <mergeCell ref="I41:J41"/>
    <mergeCell ref="A38:C38"/>
    <mergeCell ref="D38:G38"/>
    <mergeCell ref="I38:J38"/>
    <mergeCell ref="A39:C39"/>
    <mergeCell ref="D39:G39"/>
    <mergeCell ref="I39:J39"/>
    <mergeCell ref="H32:I32"/>
    <mergeCell ref="A36:C36"/>
    <mergeCell ref="D36:G36"/>
    <mergeCell ref="I36:J36"/>
    <mergeCell ref="A37:C37"/>
    <mergeCell ref="D37:G37"/>
    <mergeCell ref="I37:J37"/>
    <mergeCell ref="A30:C30"/>
    <mergeCell ref="D30:G30"/>
    <mergeCell ref="H30:I30"/>
    <mergeCell ref="J30:K30"/>
    <mergeCell ref="A31:C31"/>
    <mergeCell ref="D31:G31"/>
    <mergeCell ref="H31:I31"/>
    <mergeCell ref="J31:K31"/>
    <mergeCell ref="A28:C28"/>
    <mergeCell ref="D28:G28"/>
    <mergeCell ref="H28:I28"/>
    <mergeCell ref="J28:K28"/>
    <mergeCell ref="A29:C29"/>
    <mergeCell ref="D29:G29"/>
    <mergeCell ref="H29:I29"/>
    <mergeCell ref="J29:K29"/>
    <mergeCell ref="A26:C26"/>
    <mergeCell ref="D26:G26"/>
    <mergeCell ref="H26:I26"/>
    <mergeCell ref="J26:K26"/>
    <mergeCell ref="A27:C27"/>
    <mergeCell ref="D27:G27"/>
    <mergeCell ref="H27:I27"/>
    <mergeCell ref="J27:K27"/>
    <mergeCell ref="A24:C24"/>
    <mergeCell ref="D24:G24"/>
    <mergeCell ref="H24:I24"/>
    <mergeCell ref="J24:K24"/>
    <mergeCell ref="A25:C25"/>
    <mergeCell ref="D25:G25"/>
    <mergeCell ref="H25:I25"/>
    <mergeCell ref="J25:K25"/>
    <mergeCell ref="A22:C22"/>
    <mergeCell ref="D22:G22"/>
    <mergeCell ref="H22:I22"/>
    <mergeCell ref="J22:K22"/>
    <mergeCell ref="A23:C23"/>
    <mergeCell ref="D23:G23"/>
    <mergeCell ref="H23:I23"/>
    <mergeCell ref="J23:K23"/>
    <mergeCell ref="A20:C20"/>
    <mergeCell ref="D20:E20"/>
    <mergeCell ref="F20:G20"/>
    <mergeCell ref="J20:K20"/>
    <mergeCell ref="A21:C21"/>
    <mergeCell ref="D21:E21"/>
    <mergeCell ref="F21:G21"/>
    <mergeCell ref="J21:K21"/>
    <mergeCell ref="A18:C18"/>
    <mergeCell ref="D18:E18"/>
    <mergeCell ref="F18:G18"/>
    <mergeCell ref="J18:K18"/>
    <mergeCell ref="A19:C19"/>
    <mergeCell ref="D19:E19"/>
    <mergeCell ref="F19:G19"/>
    <mergeCell ref="J19:K19"/>
    <mergeCell ref="A16:C16"/>
    <mergeCell ref="D16:E16"/>
    <mergeCell ref="F16:G16"/>
    <mergeCell ref="J16:K16"/>
    <mergeCell ref="A17:C17"/>
    <mergeCell ref="D17:E17"/>
    <mergeCell ref="F17:G17"/>
    <mergeCell ref="J17:K17"/>
    <mergeCell ref="A14:C14"/>
    <mergeCell ref="D14:E14"/>
    <mergeCell ref="F14:G14"/>
    <mergeCell ref="J14:K14"/>
    <mergeCell ref="A15:C15"/>
    <mergeCell ref="D15:E15"/>
    <mergeCell ref="F15:G15"/>
    <mergeCell ref="J15:K15"/>
    <mergeCell ref="R10:R11"/>
    <mergeCell ref="A12:C12"/>
    <mergeCell ref="D12:E12"/>
    <mergeCell ref="F12:G12"/>
    <mergeCell ref="J12:K12"/>
    <mergeCell ref="A13:C13"/>
    <mergeCell ref="D13:E13"/>
    <mergeCell ref="F13:G13"/>
    <mergeCell ref="J13:K13"/>
    <mergeCell ref="A10:C11"/>
    <mergeCell ref="D10:E11"/>
    <mergeCell ref="F10:G11"/>
    <mergeCell ref="H10:I10"/>
    <mergeCell ref="J10:K11"/>
    <mergeCell ref="Q10:Q11"/>
    <mergeCell ref="A7:C7"/>
    <mergeCell ref="D7:G7"/>
    <mergeCell ref="H7:I7"/>
    <mergeCell ref="J7:K7"/>
    <mergeCell ref="A8:C8"/>
    <mergeCell ref="D8:G8"/>
    <mergeCell ref="J8:K8"/>
    <mergeCell ref="A1:K1"/>
    <mergeCell ref="A2:K2"/>
    <mergeCell ref="A3:K3"/>
    <mergeCell ref="A4:C4"/>
    <mergeCell ref="D4:G5"/>
    <mergeCell ref="H4:I4"/>
    <mergeCell ref="J4:K5"/>
    <mergeCell ref="A5:C5"/>
    <mergeCell ref="H5:I5"/>
  </mergeCells>
  <conditionalFormatting sqref="A134">
    <cfRule type="expression" dxfId="36" priority="26">
      <formula>se+$A$134&lt;$L$35</formula>
    </cfRule>
    <cfRule type="cellIs" dxfId="35" priority="25" operator="lessThan">
      <formula>M35</formula>
    </cfRule>
  </conditionalFormatting>
  <conditionalFormatting sqref="B134">
    <cfRule type="expression" dxfId="34" priority="35">
      <formula>P32=1</formula>
    </cfRule>
  </conditionalFormatting>
  <conditionalFormatting sqref="E134">
    <cfRule type="expression" dxfId="33" priority="20">
      <formula>($E$134&gt;$L$68)</formula>
    </cfRule>
  </conditionalFormatting>
  <conditionalFormatting sqref="F54:F64">
    <cfRule type="cellIs" dxfId="32" priority="18" operator="greaterThan">
      <formula>R54</formula>
    </cfRule>
  </conditionalFormatting>
  <conditionalFormatting sqref="F101:F112">
    <cfRule type="cellIs" dxfId="31" priority="3" operator="notBetween">
      <formula>Q101</formula>
      <formula>R101</formula>
    </cfRule>
  </conditionalFormatting>
  <conditionalFormatting sqref="F70:G80">
    <cfRule type="cellIs" dxfId="30" priority="2" operator="notBetween">
      <formula>Q70</formula>
      <formula>R70</formula>
    </cfRule>
  </conditionalFormatting>
  <conditionalFormatting sqref="J12:J21">
    <cfRule type="expression" dxfId="29" priority="9">
      <formula>P12=1</formula>
    </cfRule>
  </conditionalFormatting>
  <conditionalFormatting sqref="J23:J31">
    <cfRule type="expression" dxfId="28" priority="1">
      <formula>P23=1</formula>
    </cfRule>
  </conditionalFormatting>
  <conditionalFormatting sqref="K37:K49">
    <cfRule type="expression" dxfId="27" priority="27">
      <formula>(K37&gt;R37)</formula>
    </cfRule>
  </conditionalFormatting>
  <conditionalFormatting sqref="K134">
    <cfRule type="cellIs" dxfId="26" priority="33" operator="notEqual">
      <formula>40</formula>
    </cfRule>
  </conditionalFormatting>
  <conditionalFormatting sqref="O85:P91">
    <cfRule type="expression" dxfId="25" priority="47">
      <formula>T82=1</formula>
    </cfRule>
  </conditionalFormatting>
  <conditionalFormatting sqref="O92:P92">
    <cfRule type="expression" dxfId="24" priority="54">
      <formula>T84=1</formula>
    </cfRule>
  </conditionalFormatting>
  <conditionalFormatting sqref="O93:P93">
    <cfRule type="expression" dxfId="23" priority="49">
      <formula>T84=1</formula>
    </cfRule>
  </conditionalFormatting>
  <conditionalFormatting sqref="O94:P94">
    <cfRule type="expression" dxfId="22" priority="48">
      <formula>T84=1</formula>
    </cfRule>
  </conditionalFormatting>
  <conditionalFormatting sqref="O95:P95">
    <cfRule type="expression" dxfId="21" priority="38">
      <formula>T84=1</formula>
    </cfRule>
  </conditionalFormatting>
  <conditionalFormatting sqref="O96:P96">
    <cfRule type="expression" dxfId="20" priority="21">
      <formula>T83=1</formula>
    </cfRule>
  </conditionalFormatting>
  <conditionalFormatting sqref="Q78:Q79">
    <cfRule type="expression" dxfId="19" priority="51">
      <formula>T68=1</formula>
    </cfRule>
  </conditionalFormatting>
  <conditionalFormatting sqref="Q80">
    <cfRule type="expression" dxfId="18" priority="43">
      <formula>S69=1</formula>
    </cfRule>
  </conditionalFormatting>
  <conditionalFormatting sqref="Q81">
    <cfRule type="expression" dxfId="17" priority="42">
      <formula>S69=1</formula>
    </cfRule>
  </conditionalFormatting>
  <conditionalFormatting sqref="Q37:R44">
    <cfRule type="expression" dxfId="16" priority="30">
      <formula>T34=1</formula>
    </cfRule>
  </conditionalFormatting>
  <conditionalFormatting sqref="Q45:R45">
    <cfRule type="expression" dxfId="15" priority="44">
      <formula>T37=1</formula>
    </cfRule>
  </conditionalFormatting>
  <conditionalFormatting sqref="Q46:R46">
    <cfRule type="expression" dxfId="14" priority="22">
      <formula>T37=1</formula>
    </cfRule>
  </conditionalFormatting>
  <conditionalFormatting sqref="Q47:R49">
    <cfRule type="expression" dxfId="13" priority="28">
      <formula>T37=1</formula>
    </cfRule>
  </conditionalFormatting>
  <conditionalFormatting sqref="Q54:R57">
    <cfRule type="expression" dxfId="12" priority="31">
      <formula>T51=1</formula>
    </cfRule>
  </conditionalFormatting>
  <conditionalFormatting sqref="Q58:R63">
    <cfRule type="expression" dxfId="11" priority="23">
      <formula>T52=1</formula>
    </cfRule>
  </conditionalFormatting>
  <conditionalFormatting sqref="Q64:R64">
    <cfRule type="expression" dxfId="10" priority="50">
      <formula>T53=1</formula>
    </cfRule>
  </conditionalFormatting>
  <conditionalFormatting sqref="Q70:R76">
    <cfRule type="expression" dxfId="9" priority="36">
      <formula>T66=1</formula>
    </cfRule>
  </conditionalFormatting>
  <conditionalFormatting sqref="Q77:R77">
    <cfRule type="expression" dxfId="8" priority="29">
      <formula>T68=1</formula>
    </cfRule>
  </conditionalFormatting>
  <conditionalFormatting sqref="Q101:R106 Q107:Q112 R109">
    <cfRule type="expression" dxfId="7" priority="39">
      <formula>T99=1</formula>
    </cfRule>
  </conditionalFormatting>
  <conditionalFormatting sqref="Q113:R113">
    <cfRule type="expression" dxfId="6" priority="34">
      <formula>#REF!=1</formula>
    </cfRule>
  </conditionalFormatting>
  <conditionalFormatting sqref="R78:R79">
    <cfRule type="expression" dxfId="5" priority="46">
      <formula>U67=1</formula>
    </cfRule>
  </conditionalFormatting>
  <conditionalFormatting sqref="R80">
    <cfRule type="expression" dxfId="4" priority="52">
      <formula>U67=1</formula>
    </cfRule>
  </conditionalFormatting>
  <conditionalFormatting sqref="R81">
    <cfRule type="expression" dxfId="3" priority="53">
      <formula>U69=1</formula>
    </cfRule>
  </conditionalFormatting>
  <conditionalFormatting sqref="R107:R108">
    <cfRule type="expression" dxfId="2" priority="55">
      <formula>U101=1</formula>
    </cfRule>
  </conditionalFormatting>
  <conditionalFormatting sqref="R110:R112">
    <cfRule type="expression" dxfId="1" priority="37">
      <formula>#REF!=1</formula>
    </cfRule>
  </conditionalFormatting>
  <pageMargins left="0.511811024" right="0.511811024" top="0.78740157499999996" bottom="0.78740157499999996" header="0.31496062000000002" footer="0.31496062000000002"/>
  <pageSetup paperSize="9" scale="3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994E091-CCF8-4627-B30E-AD0140AA66F4}">
          <x14:formula1>
            <xm:f>Dados!$A$38:$A$39</xm:f>
          </x14:formula1>
          <xm:sqref>H35</xm:sqref>
        </x14:dataValidation>
        <x14:dataValidation type="list" allowBlank="1" showInputMessage="1" showErrorMessage="1" xr:uid="{D205F1D2-40CD-4831-A791-C0562939B083}">
          <x14:formula1>
            <xm:f>Dados!$A$85:$A$90</xm:f>
          </x14:formula1>
          <xm:sqref>A37:A49</xm:sqref>
        </x14:dataValidation>
        <x14:dataValidation type="list" allowBlank="1" showInputMessage="1" showErrorMessage="1" xr:uid="{28F702C0-E0FE-4495-AE7C-E20414123862}">
          <x14:formula1>
            <xm:f>Dados!$A$95:$A$99</xm:f>
          </x14:formula1>
          <xm:sqref>D68</xm:sqref>
        </x14:dataValidation>
        <x14:dataValidation type="list" allowBlank="1" showInputMessage="1" showErrorMessage="1" xr:uid="{065C81D0-F68B-4BA5-9B4B-D6743EA5D27E}">
          <x14:formula1>
            <xm:f>Dados!$A$44:$A$78</xm:f>
          </x14:formula1>
          <xm:sqref>A101:A112</xm:sqref>
        </x14:dataValidation>
        <x14:dataValidation type="list" allowBlank="1" showInputMessage="1" showErrorMessage="1" xr:uid="{8B166FB6-E5A1-4BA6-9F25-929C4C59E198}">
          <x14:formula1>
            <xm:f>Dados!$A$103:$A$104</xm:f>
          </x14:formula1>
          <xm:sqref>E77:E80 D70:D80</xm:sqref>
        </x14:dataValidation>
        <x14:dataValidation type="list" allowBlank="1" showInputMessage="1" showErrorMessage="1" xr:uid="{591BE2BD-0D0A-47CF-AB50-5407C5793463}">
          <x14:formula1>
            <xm:f>Dados!$A$108:$A$109</xm:f>
          </x14:formula1>
          <xm:sqref>D54:D64</xm:sqref>
        </x14:dataValidation>
        <x14:dataValidation type="list" allowBlank="1" showInputMessage="1" showErrorMessage="1" xr:uid="{337EE524-7E4F-461D-81E1-A3E6910D14D7}">
          <x14:formula1>
            <xm:f>Profs!$A:$A</xm:f>
          </x14:formula1>
          <xm:sqref>A5</xm:sqref>
        </x14:dataValidation>
        <x14:dataValidation type="list" allowBlank="1" showInputMessage="1" showErrorMessage="1" xr:uid="{A1ADE8A1-7BB7-475C-BEEF-23F48D0733A8}">
          <x14:formula1>
            <xm:f>'Grades Curriculares'!$A$2:$A$436</xm:f>
          </x14:formula1>
          <xm:sqref>A12:A21</xm:sqref>
        </x14:dataValidation>
        <x14:dataValidation type="list" allowBlank="1" showInputMessage="1" showErrorMessage="1" xr:uid="{E41AE864-F62D-4B75-9E02-052D272B257C}">
          <x14:formula1>
            <xm:f>'Grade Pós'!$A:$A</xm:f>
          </x14:formula1>
          <xm:sqref>A23:A31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0F4C-DE8A-4C5F-AEE8-F1B8ACB9E5D8}">
  <sheetPr>
    <pageSetUpPr fitToPage="1"/>
  </sheetPr>
  <dimension ref="A1:BA40"/>
  <sheetViews>
    <sheetView showGridLines="0" topLeftCell="H1" workbookViewId="0">
      <selection sqref="A1:G1048576"/>
    </sheetView>
  </sheetViews>
  <sheetFormatPr defaultRowHeight="15" x14ac:dyDescent="0.25"/>
  <cols>
    <col min="1" max="7" width="9.140625" style="161" hidden="1" customWidth="1"/>
    <col min="8" max="8" width="10.28515625" bestFit="1" customWidth="1"/>
    <col min="9" max="9" width="44.28515625" bestFit="1" customWidth="1"/>
    <col min="10" max="10" width="10.85546875" customWidth="1"/>
    <col min="11" max="11" width="19.7109375" customWidth="1"/>
    <col min="12" max="12" width="10.7109375" style="103" customWidth="1"/>
    <col min="27" max="53" width="0" hidden="1" customWidth="1"/>
  </cols>
  <sheetData>
    <row r="1" spans="1:53" x14ac:dyDescent="0.25">
      <c r="A1" s="161" t="s">
        <v>1407</v>
      </c>
      <c r="H1" s="146" t="s">
        <v>926</v>
      </c>
      <c r="I1" s="146" t="s">
        <v>910</v>
      </c>
      <c r="J1" s="146" t="s">
        <v>911</v>
      </c>
      <c r="K1" s="146" t="s">
        <v>912</v>
      </c>
      <c r="L1" s="165"/>
      <c r="M1" s="146" t="s">
        <v>913</v>
      </c>
      <c r="N1" s="146" t="s">
        <v>914</v>
      </c>
      <c r="O1" s="146" t="s">
        <v>915</v>
      </c>
      <c r="P1" s="146" t="s">
        <v>916</v>
      </c>
      <c r="Q1" s="146" t="s">
        <v>917</v>
      </c>
      <c r="R1" s="146" t="s">
        <v>918</v>
      </c>
      <c r="S1" s="146" t="s">
        <v>919</v>
      </c>
      <c r="T1" s="146" t="s">
        <v>920</v>
      </c>
      <c r="U1" s="146" t="s">
        <v>921</v>
      </c>
      <c r="V1" s="146" t="s">
        <v>922</v>
      </c>
      <c r="W1" s="146" t="s">
        <v>923</v>
      </c>
      <c r="X1" s="146" t="s">
        <v>924</v>
      </c>
      <c r="Y1" s="146" t="s">
        <v>925</v>
      </c>
      <c r="AA1" s="146" t="s">
        <v>913</v>
      </c>
      <c r="AB1" s="146" t="s">
        <v>914</v>
      </c>
      <c r="AC1" s="146" t="s">
        <v>915</v>
      </c>
      <c r="AD1" s="146" t="s">
        <v>916</v>
      </c>
      <c r="AE1" s="146" t="s">
        <v>917</v>
      </c>
      <c r="AF1" s="146" t="s">
        <v>918</v>
      </c>
      <c r="AG1" s="146" t="s">
        <v>919</v>
      </c>
      <c r="AH1" s="146" t="s">
        <v>920</v>
      </c>
      <c r="AI1" s="146" t="s">
        <v>921</v>
      </c>
      <c r="AJ1" s="146" t="s">
        <v>922</v>
      </c>
      <c r="AK1" s="146" t="s">
        <v>923</v>
      </c>
      <c r="AL1" s="146" t="s">
        <v>924</v>
      </c>
      <c r="AM1" s="146" t="s">
        <v>925</v>
      </c>
      <c r="AO1" s="146" t="s">
        <v>913</v>
      </c>
      <c r="AP1" s="146" t="s">
        <v>914</v>
      </c>
      <c r="AQ1" s="146" t="s">
        <v>915</v>
      </c>
      <c r="AR1" s="146" t="s">
        <v>916</v>
      </c>
      <c r="AS1" s="146" t="s">
        <v>917</v>
      </c>
      <c r="AT1" s="146" t="s">
        <v>918</v>
      </c>
      <c r="AU1" s="146" t="s">
        <v>919</v>
      </c>
      <c r="AV1" s="146" t="s">
        <v>920</v>
      </c>
      <c r="AW1" s="146" t="s">
        <v>921</v>
      </c>
      <c r="AX1" s="146" t="s">
        <v>922</v>
      </c>
      <c r="AY1" s="146" t="s">
        <v>923</v>
      </c>
      <c r="AZ1" s="146" t="s">
        <v>924</v>
      </c>
      <c r="BA1" s="146" t="s">
        <v>925</v>
      </c>
    </row>
    <row r="2" spans="1:53" x14ac:dyDescent="0.25">
      <c r="A2" s="161" t="str">
        <f ca="1">CELL("nome.arquivo",Aike!$A$1:$K$1)</f>
        <v>U:\PLANILHAS DE OCUPAÇÃO DOCENTE\Planos de Trabalho\Planos de Trabalho 2025.1\[Simulador PTI Validado com POD AGRO Automático.xlsx]Aike</v>
      </c>
      <c r="B2" s="161">
        <f t="shared" ref="B2:B25" ca="1" si="0">SEARCH("]",A2)</f>
        <v>131</v>
      </c>
      <c r="C2" s="161">
        <f t="shared" ref="C2:C25" ca="1" si="1">LEN(A2)</f>
        <v>135</v>
      </c>
      <c r="D2" s="161" t="str">
        <f t="shared" ref="D2:D25" ca="1" si="2">MID(A2,B2+1,C2)</f>
        <v>Aike</v>
      </c>
      <c r="E2" s="162" t="s">
        <v>1408</v>
      </c>
      <c r="F2" s="161" t="str">
        <f t="shared" ref="F2:F25" ca="1" si="3">CONCATENATE(D2,E2)</f>
        <v>Aike!</v>
      </c>
      <c r="H2" s="163" t="str">
        <f t="shared" ref="H2:H23" ca="1" si="4">IFERROR(INDIRECT(D2&amp;"!A148"),0)</f>
        <v>Efetivo</v>
      </c>
      <c r="I2" s="163" t="str">
        <f t="shared" ref="I2:I23" ca="1" si="5">INDIRECT(D2&amp;"!b148")</f>
        <v>Aike Anneliese Kretzschmar</v>
      </c>
      <c r="J2" s="163" t="str">
        <f t="shared" ref="J2:J23" ca="1" si="6">INDIRECT(D2&amp;"!c148")</f>
        <v>Doutor(a)</v>
      </c>
      <c r="K2" s="163" t="str">
        <f t="shared" ref="K2:K23" ca="1" si="7">INDIRECT(D2&amp;"!d148")</f>
        <v>Dedicação Integral</v>
      </c>
      <c r="L2" s="166" t="str">
        <f t="shared" ref="L2:L23" ca="1" si="8">INDIRECT(D2&amp;"!e148")</f>
        <v>40 h</v>
      </c>
      <c r="M2" s="164">
        <f t="shared" ref="M2" ca="1" si="9">IFERROR(INDIRECT(D2&amp;"!f148"),"")</f>
        <v>8</v>
      </c>
      <c r="N2" s="164">
        <f t="shared" ref="N2:N24" ca="1" si="10">IFERROR(INDIRECT(D2&amp;"!g148"),"")</f>
        <v>1</v>
      </c>
      <c r="O2" s="164">
        <f t="shared" ref="O2:O24" ca="1" si="11">IFERROR(INDIRECT(D2&amp;"!h148"),"")</f>
        <v>10</v>
      </c>
      <c r="P2" s="164">
        <f t="shared" ref="P2:P24" ca="1" si="12">IFERROR(INDIRECT(D2&amp;"!i148"),"")</f>
        <v>4</v>
      </c>
      <c r="Q2" s="164">
        <f t="shared" ref="Q2:Q24" ca="1" si="13">IFERROR(INDIRECT(D2&amp;"!j148"),"")</f>
        <v>8</v>
      </c>
      <c r="R2" s="164">
        <f t="shared" ref="R2:R24" ca="1" si="14">IFERROR(INDIRECT(D2&amp;"!k148"),"")</f>
        <v>5</v>
      </c>
      <c r="S2" s="164">
        <f t="shared" ref="S2:S24" ca="1" si="15">IFERROR(INDIRECT(D2&amp;"!q148"),"")</f>
        <v>0</v>
      </c>
      <c r="T2" s="164">
        <f t="shared" ref="T2:T24" ca="1" si="16">IFERROR(INDIRECT(D2&amp;"!r148"),"")</f>
        <v>0</v>
      </c>
      <c r="U2" s="164">
        <f t="shared" ref="U2:U24" ca="1" si="17">IFERROR(INDIRECT(D2&amp;"!s148"),"")</f>
        <v>5</v>
      </c>
      <c r="V2" s="164">
        <f t="shared" ref="V2:V24" ca="1" si="18">IFERROR(INDIRECT(D2&amp;"!t148"),"")</f>
        <v>0</v>
      </c>
      <c r="W2" s="164">
        <f t="shared" ref="W2:W24" ca="1" si="19">IFERROR(INDIRECT(D2&amp;"!u148"),"")</f>
        <v>0</v>
      </c>
      <c r="X2" s="164">
        <f t="shared" ref="X2:X24" ca="1" si="20">IFERROR(INDIRECT(D2&amp;"!v148"),"")</f>
        <v>0</v>
      </c>
      <c r="Y2" s="164">
        <f ca="1">IFERROR(INDIRECT(D2&amp;"!w148"),"")</f>
        <v>41</v>
      </c>
      <c r="AA2">
        <f ca="1">IF($H2="Efetivo",M2,0)</f>
        <v>8</v>
      </c>
      <c r="AB2">
        <f t="shared" ref="AB2:AM17" ca="1" si="21">IF($H2="Efetivo",N2,0)</f>
        <v>1</v>
      </c>
      <c r="AC2">
        <f t="shared" ca="1" si="21"/>
        <v>10</v>
      </c>
      <c r="AD2">
        <f t="shared" ca="1" si="21"/>
        <v>4</v>
      </c>
      <c r="AE2">
        <f t="shared" ca="1" si="21"/>
        <v>8</v>
      </c>
      <c r="AF2">
        <f t="shared" ca="1" si="21"/>
        <v>5</v>
      </c>
      <c r="AG2">
        <f t="shared" ca="1" si="21"/>
        <v>0</v>
      </c>
      <c r="AH2">
        <f t="shared" ca="1" si="21"/>
        <v>0</v>
      </c>
      <c r="AI2">
        <f t="shared" ca="1" si="21"/>
        <v>5</v>
      </c>
      <c r="AJ2">
        <f t="shared" ca="1" si="21"/>
        <v>0</v>
      </c>
      <c r="AK2">
        <f t="shared" ca="1" si="21"/>
        <v>0</v>
      </c>
      <c r="AL2">
        <f t="shared" ca="1" si="21"/>
        <v>0</v>
      </c>
      <c r="AM2">
        <f t="shared" ca="1" si="21"/>
        <v>41</v>
      </c>
      <c r="AO2">
        <f ca="1">IF($H2="Substituto",M2,0)</f>
        <v>0</v>
      </c>
      <c r="AP2">
        <f t="shared" ref="AP2:BA17" ca="1" si="22">IF($H2="Substituto",N2,0)</f>
        <v>0</v>
      </c>
      <c r="AQ2">
        <f t="shared" ca="1" si="22"/>
        <v>0</v>
      </c>
      <c r="AR2">
        <f t="shared" ca="1" si="22"/>
        <v>0</v>
      </c>
      <c r="AS2">
        <f t="shared" ca="1" si="22"/>
        <v>0</v>
      </c>
      <c r="AT2">
        <f t="shared" ca="1" si="22"/>
        <v>0</v>
      </c>
      <c r="AU2">
        <f t="shared" ca="1" si="22"/>
        <v>0</v>
      </c>
      <c r="AV2">
        <f t="shared" ca="1" si="22"/>
        <v>0</v>
      </c>
      <c r="AW2">
        <f t="shared" ca="1" si="22"/>
        <v>0</v>
      </c>
      <c r="AX2">
        <f t="shared" ca="1" si="22"/>
        <v>0</v>
      </c>
      <c r="AY2">
        <f t="shared" ca="1" si="22"/>
        <v>0</v>
      </c>
      <c r="AZ2">
        <f t="shared" ca="1" si="22"/>
        <v>0</v>
      </c>
      <c r="BA2">
        <f t="shared" ca="1" si="22"/>
        <v>0</v>
      </c>
    </row>
    <row r="3" spans="1:53" x14ac:dyDescent="0.25">
      <c r="A3" s="161" t="str">
        <f ca="1">CELL("nome.arquivo",Altamir!$A$1:$K$1)</f>
        <v>U:\PLANILHAS DE OCUPAÇÃO DOCENTE\Planos de Trabalho\Planos de Trabalho 2025.1\[Simulador PTI Validado com POD AGRO Automático.xlsx]Altamir</v>
      </c>
      <c r="B3" s="161">
        <f t="shared" ca="1" si="0"/>
        <v>131</v>
      </c>
      <c r="C3" s="161">
        <f t="shared" ca="1" si="1"/>
        <v>138</v>
      </c>
      <c r="D3" s="161" t="str">
        <f t="shared" ca="1" si="2"/>
        <v>Altamir</v>
      </c>
      <c r="E3" s="162" t="s">
        <v>1408</v>
      </c>
      <c r="F3" s="161" t="str">
        <f t="shared" ca="1" si="3"/>
        <v>Altamir!</v>
      </c>
      <c r="H3" s="163" t="str">
        <f t="shared" ca="1" si="4"/>
        <v>Efetivo</v>
      </c>
      <c r="I3" s="163" t="str">
        <f t="shared" ca="1" si="5"/>
        <v>Altamir Frederico Guidolin</v>
      </c>
      <c r="J3" s="163" t="str">
        <f t="shared" ca="1" si="6"/>
        <v>Doutor(a)</v>
      </c>
      <c r="K3" s="163" t="str">
        <f t="shared" ca="1" si="7"/>
        <v>Dedicação Integral</v>
      </c>
      <c r="L3" s="166" t="str">
        <f t="shared" ca="1" si="8"/>
        <v>40 h</v>
      </c>
      <c r="M3" s="164">
        <f t="shared" ref="M3:M24" ca="1" si="23">IFERROR(INDIRECT(D3&amp;"!f148"),"")</f>
        <v>14</v>
      </c>
      <c r="N3" s="164">
        <f t="shared" ca="1" si="10"/>
        <v>0</v>
      </c>
      <c r="O3" s="164">
        <f t="shared" ca="1" si="11"/>
        <v>18</v>
      </c>
      <c r="P3" s="164">
        <f t="shared" ca="1" si="12"/>
        <v>1</v>
      </c>
      <c r="Q3" s="164">
        <f t="shared" ca="1" si="13"/>
        <v>6</v>
      </c>
      <c r="R3" s="164">
        <f t="shared" ca="1" si="14"/>
        <v>0</v>
      </c>
      <c r="S3" s="164">
        <f t="shared" ca="1" si="15"/>
        <v>0</v>
      </c>
      <c r="T3" s="164">
        <f t="shared" ca="1" si="16"/>
        <v>0</v>
      </c>
      <c r="U3" s="164">
        <f t="shared" ca="1" si="17"/>
        <v>5</v>
      </c>
      <c r="V3" s="164">
        <f t="shared" ca="1" si="18"/>
        <v>0</v>
      </c>
      <c r="W3" s="164">
        <f t="shared" ca="1" si="19"/>
        <v>0</v>
      </c>
      <c r="X3" s="164">
        <f t="shared" ca="1" si="20"/>
        <v>0</v>
      </c>
      <c r="Y3" s="164">
        <f t="shared" ref="Y3:Y30" ca="1" si="24">IFERROR(INDIRECT(D3&amp;"!w148"),"")</f>
        <v>44</v>
      </c>
      <c r="AA3">
        <f t="shared" ref="AA3:AA32" ca="1" si="25">IF($H3="Efetivo",M3,0)</f>
        <v>14</v>
      </c>
      <c r="AB3">
        <f t="shared" ca="1" si="21"/>
        <v>0</v>
      </c>
      <c r="AC3">
        <f t="shared" ca="1" si="21"/>
        <v>18</v>
      </c>
      <c r="AD3">
        <f t="shared" ca="1" si="21"/>
        <v>1</v>
      </c>
      <c r="AE3">
        <f t="shared" ca="1" si="21"/>
        <v>6</v>
      </c>
      <c r="AF3">
        <f t="shared" ca="1" si="21"/>
        <v>0</v>
      </c>
      <c r="AG3">
        <f t="shared" ca="1" si="21"/>
        <v>0</v>
      </c>
      <c r="AH3">
        <f t="shared" ca="1" si="21"/>
        <v>0</v>
      </c>
      <c r="AI3">
        <f t="shared" ca="1" si="21"/>
        <v>5</v>
      </c>
      <c r="AJ3">
        <f t="shared" ca="1" si="21"/>
        <v>0</v>
      </c>
      <c r="AK3">
        <f t="shared" ca="1" si="21"/>
        <v>0</v>
      </c>
      <c r="AL3">
        <f t="shared" ca="1" si="21"/>
        <v>0</v>
      </c>
      <c r="AM3">
        <f t="shared" ca="1" si="21"/>
        <v>44</v>
      </c>
      <c r="AO3">
        <f t="shared" ref="AO3:AO32" ca="1" si="26">IF($H3="Substituto",M3,0)</f>
        <v>0</v>
      </c>
      <c r="AP3">
        <f t="shared" ca="1" si="22"/>
        <v>0</v>
      </c>
      <c r="AQ3">
        <f t="shared" ca="1" si="22"/>
        <v>0</v>
      </c>
      <c r="AR3">
        <f t="shared" ca="1" si="22"/>
        <v>0</v>
      </c>
      <c r="AS3">
        <f t="shared" ca="1" si="22"/>
        <v>0</v>
      </c>
      <c r="AT3">
        <f t="shared" ca="1" si="22"/>
        <v>0</v>
      </c>
      <c r="AU3">
        <f t="shared" ca="1" si="22"/>
        <v>0</v>
      </c>
      <c r="AV3">
        <f t="shared" ca="1" si="22"/>
        <v>0</v>
      </c>
      <c r="AW3">
        <f t="shared" ca="1" si="22"/>
        <v>0</v>
      </c>
      <c r="AX3">
        <f t="shared" ca="1" si="22"/>
        <v>0</v>
      </c>
      <c r="AY3">
        <f t="shared" ca="1" si="22"/>
        <v>0</v>
      </c>
      <c r="AZ3">
        <f t="shared" ca="1" si="22"/>
        <v>0</v>
      </c>
      <c r="BA3">
        <f t="shared" ca="1" si="22"/>
        <v>0</v>
      </c>
    </row>
    <row r="4" spans="1:53" x14ac:dyDescent="0.25">
      <c r="A4" s="161" t="str">
        <f ca="1">CELL("nome.arquivo",Antonio!$A$1:$K$1)</f>
        <v>U:\PLANILHAS DE OCUPAÇÃO DOCENTE\Planos de Trabalho\Planos de Trabalho 2025.1\[Simulador PTI Validado com POD AGRO Automático.xlsx]Antonio</v>
      </c>
      <c r="B4" s="161">
        <f t="shared" ca="1" si="0"/>
        <v>131</v>
      </c>
      <c r="C4" s="161">
        <f t="shared" ca="1" si="1"/>
        <v>138</v>
      </c>
      <c r="D4" s="161" t="str">
        <f t="shared" ca="1" si="2"/>
        <v>Antonio</v>
      </c>
      <c r="E4" s="162" t="s">
        <v>1408</v>
      </c>
      <c r="F4" s="161" t="str">
        <f t="shared" ca="1" si="3"/>
        <v>Antonio!</v>
      </c>
      <c r="H4" s="163" t="str">
        <f t="shared" ca="1" si="4"/>
        <v>Efetivo</v>
      </c>
      <c r="I4" s="163" t="str">
        <f t="shared" ca="1" si="5"/>
        <v>Antonio Mendes De Oliveira Neto</v>
      </c>
      <c r="J4" s="163" t="str">
        <f t="shared" ca="1" si="6"/>
        <v>Doutor(a)</v>
      </c>
      <c r="K4" s="163" t="str">
        <f t="shared" ca="1" si="7"/>
        <v>40 horas</v>
      </c>
      <c r="L4" s="166" t="str">
        <f t="shared" ca="1" si="8"/>
        <v>40 h</v>
      </c>
      <c r="M4" s="164">
        <f t="shared" ca="1" si="23"/>
        <v>6</v>
      </c>
      <c r="N4" s="164">
        <f t="shared" ca="1" si="10"/>
        <v>4</v>
      </c>
      <c r="O4" s="164">
        <f t="shared" ca="1" si="11"/>
        <v>10</v>
      </c>
      <c r="P4" s="164">
        <f t="shared" ca="1" si="12"/>
        <v>14</v>
      </c>
      <c r="Q4" s="164">
        <f t="shared" ca="1" si="13"/>
        <v>6</v>
      </c>
      <c r="R4" s="164">
        <f t="shared" ca="1" si="14"/>
        <v>0</v>
      </c>
      <c r="S4" s="164">
        <f t="shared" ca="1" si="15"/>
        <v>0</v>
      </c>
      <c r="T4" s="164">
        <f t="shared" ca="1" si="16"/>
        <v>0</v>
      </c>
      <c r="U4" s="164">
        <f t="shared" ca="1" si="17"/>
        <v>6</v>
      </c>
      <c r="V4" s="164">
        <f t="shared" ca="1" si="18"/>
        <v>0</v>
      </c>
      <c r="W4" s="164">
        <f t="shared" ca="1" si="19"/>
        <v>0</v>
      </c>
      <c r="X4" s="164">
        <f t="shared" ca="1" si="20"/>
        <v>0</v>
      </c>
      <c r="Y4" s="164">
        <f t="shared" ca="1" si="24"/>
        <v>46</v>
      </c>
      <c r="AA4">
        <f t="shared" ca="1" si="25"/>
        <v>6</v>
      </c>
      <c r="AB4">
        <f t="shared" ca="1" si="21"/>
        <v>4</v>
      </c>
      <c r="AC4">
        <f t="shared" ca="1" si="21"/>
        <v>10</v>
      </c>
      <c r="AD4">
        <f t="shared" ca="1" si="21"/>
        <v>14</v>
      </c>
      <c r="AE4">
        <f t="shared" ca="1" si="21"/>
        <v>6</v>
      </c>
      <c r="AF4">
        <f t="shared" ca="1" si="21"/>
        <v>0</v>
      </c>
      <c r="AG4">
        <f t="shared" ca="1" si="21"/>
        <v>0</v>
      </c>
      <c r="AH4">
        <f t="shared" ca="1" si="21"/>
        <v>0</v>
      </c>
      <c r="AI4">
        <f t="shared" ca="1" si="21"/>
        <v>6</v>
      </c>
      <c r="AJ4">
        <f t="shared" ca="1" si="21"/>
        <v>0</v>
      </c>
      <c r="AK4">
        <f t="shared" ca="1" si="21"/>
        <v>0</v>
      </c>
      <c r="AL4">
        <f t="shared" ca="1" si="21"/>
        <v>0</v>
      </c>
      <c r="AM4">
        <f t="shared" ca="1" si="21"/>
        <v>46</v>
      </c>
      <c r="AO4">
        <f t="shared" ca="1" si="26"/>
        <v>0</v>
      </c>
      <c r="AP4">
        <f t="shared" ca="1" si="22"/>
        <v>0</v>
      </c>
      <c r="AQ4">
        <f t="shared" ca="1" si="22"/>
        <v>0</v>
      </c>
      <c r="AR4">
        <f t="shared" ca="1" si="22"/>
        <v>0</v>
      </c>
      <c r="AS4">
        <f t="shared" ca="1" si="22"/>
        <v>0</v>
      </c>
      <c r="AT4">
        <f t="shared" ca="1" si="22"/>
        <v>0</v>
      </c>
      <c r="AU4">
        <f t="shared" ca="1" si="22"/>
        <v>0</v>
      </c>
      <c r="AV4">
        <f t="shared" ca="1" si="22"/>
        <v>0</v>
      </c>
      <c r="AW4">
        <f t="shared" ca="1" si="22"/>
        <v>0</v>
      </c>
      <c r="AX4">
        <f t="shared" ca="1" si="22"/>
        <v>0</v>
      </c>
      <c r="AY4">
        <f t="shared" ca="1" si="22"/>
        <v>0</v>
      </c>
      <c r="AZ4">
        <f t="shared" ca="1" si="22"/>
        <v>0</v>
      </c>
      <c r="BA4">
        <f t="shared" ca="1" si="22"/>
        <v>0</v>
      </c>
    </row>
    <row r="5" spans="1:53" x14ac:dyDescent="0.25">
      <c r="A5" s="161" t="str">
        <f ca="1">CELL("nome.arquivo",Andre!$A$1:$K$1)</f>
        <v>U:\PLANILHAS DE OCUPAÇÃO DOCENTE\Planos de Trabalho\Planos de Trabalho 2025.1\[Simulador PTI Validado com POD AGRO Automático.xlsx]Andre</v>
      </c>
      <c r="B5" s="161">
        <f t="shared" ca="1" si="0"/>
        <v>131</v>
      </c>
      <c r="C5" s="161">
        <f t="shared" ca="1" si="1"/>
        <v>136</v>
      </c>
      <c r="D5" s="161" t="str">
        <f t="shared" ca="1" si="2"/>
        <v>Andre</v>
      </c>
      <c r="E5" s="162" t="s">
        <v>1408</v>
      </c>
      <c r="F5" s="161" t="str">
        <f t="shared" ca="1" si="3"/>
        <v>Andre!</v>
      </c>
      <c r="H5" s="163" t="str">
        <f t="shared" ca="1" si="4"/>
        <v>Efetivo</v>
      </c>
      <c r="I5" s="163" t="str">
        <f t="shared" ca="1" si="5"/>
        <v>André Aníbal Brandt</v>
      </c>
      <c r="J5" s="163" t="str">
        <f t="shared" ca="1" si="6"/>
        <v>Doutor(a)</v>
      </c>
      <c r="K5" s="163" t="str">
        <f t="shared" ca="1" si="7"/>
        <v>Dedicação Integral</v>
      </c>
      <c r="L5" s="166" t="str">
        <f t="shared" ca="1" si="8"/>
        <v>40 h</v>
      </c>
      <c r="M5" s="164">
        <f t="shared" ca="1" si="23"/>
        <v>13</v>
      </c>
      <c r="N5" s="164">
        <f t="shared" ca="1" si="10"/>
        <v>0</v>
      </c>
      <c r="O5" s="164">
        <f t="shared" ca="1" si="11"/>
        <v>10</v>
      </c>
      <c r="P5" s="164">
        <f t="shared" ca="1" si="12"/>
        <v>0</v>
      </c>
      <c r="Q5" s="164">
        <f t="shared" ca="1" si="13"/>
        <v>0</v>
      </c>
      <c r="R5" s="164">
        <f t="shared" ca="1" si="14"/>
        <v>0</v>
      </c>
      <c r="S5" s="164">
        <f t="shared" ca="1" si="15"/>
        <v>0</v>
      </c>
      <c r="T5" s="164">
        <f t="shared" ca="1" si="16"/>
        <v>0</v>
      </c>
      <c r="U5" s="164">
        <f t="shared" ca="1" si="17"/>
        <v>17</v>
      </c>
      <c r="V5" s="164">
        <f t="shared" ca="1" si="18"/>
        <v>0</v>
      </c>
      <c r="W5" s="164">
        <f t="shared" ca="1" si="19"/>
        <v>0</v>
      </c>
      <c r="X5" s="164">
        <f t="shared" ca="1" si="20"/>
        <v>0</v>
      </c>
      <c r="Y5" s="164">
        <f t="shared" ca="1" si="24"/>
        <v>40</v>
      </c>
      <c r="AA5">
        <f t="shared" ca="1" si="25"/>
        <v>13</v>
      </c>
      <c r="AB5">
        <f t="shared" ca="1" si="21"/>
        <v>0</v>
      </c>
      <c r="AC5">
        <f t="shared" ca="1" si="21"/>
        <v>10</v>
      </c>
      <c r="AD5">
        <f t="shared" ca="1" si="21"/>
        <v>0</v>
      </c>
      <c r="AE5">
        <f t="shared" ca="1" si="21"/>
        <v>0</v>
      </c>
      <c r="AF5">
        <f t="shared" ca="1" si="21"/>
        <v>0</v>
      </c>
      <c r="AG5">
        <f t="shared" ca="1" si="21"/>
        <v>0</v>
      </c>
      <c r="AH5">
        <f t="shared" ca="1" si="21"/>
        <v>0</v>
      </c>
      <c r="AI5">
        <f t="shared" ca="1" si="21"/>
        <v>17</v>
      </c>
      <c r="AJ5">
        <f t="shared" ca="1" si="21"/>
        <v>0</v>
      </c>
      <c r="AK5">
        <f t="shared" ca="1" si="21"/>
        <v>0</v>
      </c>
      <c r="AL5">
        <f t="shared" ca="1" si="21"/>
        <v>0</v>
      </c>
      <c r="AM5">
        <f t="shared" ca="1" si="21"/>
        <v>40</v>
      </c>
      <c r="AO5">
        <f t="shared" ca="1" si="26"/>
        <v>0</v>
      </c>
      <c r="AP5">
        <f t="shared" ca="1" si="22"/>
        <v>0</v>
      </c>
      <c r="AQ5">
        <f t="shared" ca="1" si="22"/>
        <v>0</v>
      </c>
      <c r="AR5">
        <f t="shared" ca="1" si="22"/>
        <v>0</v>
      </c>
      <c r="AS5">
        <f t="shared" ca="1" si="22"/>
        <v>0</v>
      </c>
      <c r="AT5">
        <f t="shared" ca="1" si="22"/>
        <v>0</v>
      </c>
      <c r="AU5">
        <f t="shared" ca="1" si="22"/>
        <v>0</v>
      </c>
      <c r="AV5">
        <f t="shared" ca="1" si="22"/>
        <v>0</v>
      </c>
      <c r="AW5">
        <f t="shared" ca="1" si="22"/>
        <v>0</v>
      </c>
      <c r="AX5">
        <f t="shared" ca="1" si="22"/>
        <v>0</v>
      </c>
      <c r="AY5">
        <f t="shared" ca="1" si="22"/>
        <v>0</v>
      </c>
      <c r="AZ5">
        <f t="shared" ca="1" si="22"/>
        <v>0</v>
      </c>
      <c r="BA5">
        <f t="shared" ca="1" si="22"/>
        <v>0</v>
      </c>
    </row>
    <row r="6" spans="1:53" x14ac:dyDescent="0.25">
      <c r="A6" s="161" t="str">
        <f ca="1">CELL("nome.arquivo",Carlos!$A$1:$K$1)</f>
        <v>U:\PLANILHAS DE OCUPAÇÃO DOCENTE\Planos de Trabalho\Planos de Trabalho 2025.1\[Simulador PTI Validado com POD AGRO Automático.xlsx]Carlos</v>
      </c>
      <c r="B6" s="161">
        <f t="shared" ca="1" si="0"/>
        <v>131</v>
      </c>
      <c r="C6" s="161">
        <f t="shared" ca="1" si="1"/>
        <v>137</v>
      </c>
      <c r="D6" s="161" t="str">
        <f t="shared" ca="1" si="2"/>
        <v>Carlos</v>
      </c>
      <c r="E6" s="162" t="s">
        <v>1408</v>
      </c>
      <c r="F6" s="161" t="str">
        <f t="shared" ca="1" si="3"/>
        <v>Carlos!</v>
      </c>
      <c r="H6" s="163" t="str">
        <f t="shared" ca="1" si="4"/>
        <v>Efetivo</v>
      </c>
      <c r="I6" s="163" t="str">
        <f t="shared" ca="1" si="5"/>
        <v>Carlos Augusto De Paiva Sampaio</v>
      </c>
      <c r="J6" s="163" t="str">
        <f t="shared" ca="1" si="6"/>
        <v>Doutor(a)</v>
      </c>
      <c r="K6" s="163" t="str">
        <f t="shared" ca="1" si="7"/>
        <v>Dedicação Integral</v>
      </c>
      <c r="L6" s="166" t="str">
        <f t="shared" ca="1" si="8"/>
        <v>40 h</v>
      </c>
      <c r="M6" s="164">
        <f t="shared" ca="1" si="23"/>
        <v>14</v>
      </c>
      <c r="N6" s="164">
        <f t="shared" ca="1" si="10"/>
        <v>0</v>
      </c>
      <c r="O6" s="164">
        <f t="shared" ca="1" si="11"/>
        <v>14</v>
      </c>
      <c r="P6" s="164">
        <f t="shared" ca="1" si="12"/>
        <v>14</v>
      </c>
      <c r="Q6" s="164">
        <f t="shared" ca="1" si="13"/>
        <v>6</v>
      </c>
      <c r="R6" s="164">
        <f t="shared" ca="1" si="14"/>
        <v>8</v>
      </c>
      <c r="S6" s="164">
        <f t="shared" ca="1" si="15"/>
        <v>0</v>
      </c>
      <c r="T6" s="164">
        <f t="shared" ca="1" si="16"/>
        <v>0</v>
      </c>
      <c r="U6" s="164">
        <f t="shared" ca="1" si="17"/>
        <v>5</v>
      </c>
      <c r="V6" s="164">
        <f t="shared" ca="1" si="18"/>
        <v>0</v>
      </c>
      <c r="W6" s="164">
        <f t="shared" ca="1" si="19"/>
        <v>0</v>
      </c>
      <c r="X6" s="164">
        <f t="shared" ca="1" si="20"/>
        <v>0</v>
      </c>
      <c r="Y6" s="164">
        <f t="shared" ca="1" si="24"/>
        <v>61</v>
      </c>
      <c r="AA6">
        <f t="shared" ca="1" si="25"/>
        <v>14</v>
      </c>
      <c r="AB6">
        <f t="shared" ca="1" si="21"/>
        <v>0</v>
      </c>
      <c r="AC6">
        <f t="shared" ca="1" si="21"/>
        <v>14</v>
      </c>
      <c r="AD6">
        <f t="shared" ca="1" si="21"/>
        <v>14</v>
      </c>
      <c r="AE6">
        <f t="shared" ca="1" si="21"/>
        <v>6</v>
      </c>
      <c r="AF6">
        <f t="shared" ca="1" si="21"/>
        <v>8</v>
      </c>
      <c r="AG6">
        <f t="shared" ca="1" si="21"/>
        <v>0</v>
      </c>
      <c r="AH6">
        <f t="shared" ca="1" si="21"/>
        <v>0</v>
      </c>
      <c r="AI6">
        <f t="shared" ca="1" si="21"/>
        <v>5</v>
      </c>
      <c r="AJ6">
        <f t="shared" ca="1" si="21"/>
        <v>0</v>
      </c>
      <c r="AK6">
        <f t="shared" ca="1" si="21"/>
        <v>0</v>
      </c>
      <c r="AL6">
        <f t="shared" ca="1" si="21"/>
        <v>0</v>
      </c>
      <c r="AM6">
        <f t="shared" ca="1" si="21"/>
        <v>61</v>
      </c>
      <c r="AO6">
        <f t="shared" ca="1" si="26"/>
        <v>0</v>
      </c>
      <c r="AP6">
        <f t="shared" ca="1" si="22"/>
        <v>0</v>
      </c>
      <c r="AQ6">
        <f t="shared" ca="1" si="22"/>
        <v>0</v>
      </c>
      <c r="AR6">
        <f t="shared" ca="1" si="22"/>
        <v>0</v>
      </c>
      <c r="AS6">
        <f t="shared" ca="1" si="22"/>
        <v>0</v>
      </c>
      <c r="AT6">
        <f t="shared" ca="1" si="22"/>
        <v>0</v>
      </c>
      <c r="AU6">
        <f t="shared" ca="1" si="22"/>
        <v>0</v>
      </c>
      <c r="AV6">
        <f t="shared" ca="1" si="22"/>
        <v>0</v>
      </c>
      <c r="AW6">
        <f t="shared" ca="1" si="22"/>
        <v>0</v>
      </c>
      <c r="AX6">
        <f t="shared" ca="1" si="22"/>
        <v>0</v>
      </c>
      <c r="AY6">
        <f t="shared" ca="1" si="22"/>
        <v>0</v>
      </c>
      <c r="AZ6">
        <f t="shared" ca="1" si="22"/>
        <v>0</v>
      </c>
      <c r="BA6">
        <f t="shared" ca="1" si="22"/>
        <v>0</v>
      </c>
    </row>
    <row r="7" spans="1:53" x14ac:dyDescent="0.25">
      <c r="A7" s="161" t="str">
        <f ca="1">CELL("nome.arquivo",Cassandro!$A$1:$K$1)</f>
        <v>U:\PLANILHAS DE OCUPAÇÃO DOCENTE\Planos de Trabalho\Planos de Trabalho 2025.1\[Simulador PTI Validado com POD AGRO Automático.xlsx]Cassandro</v>
      </c>
      <c r="B7" s="161">
        <f t="shared" ca="1" si="0"/>
        <v>131</v>
      </c>
      <c r="C7" s="161">
        <f t="shared" ca="1" si="1"/>
        <v>140</v>
      </c>
      <c r="D7" s="161" t="str">
        <f t="shared" ca="1" si="2"/>
        <v>Cassandro</v>
      </c>
      <c r="E7" s="162" t="s">
        <v>1408</v>
      </c>
      <c r="F7" s="161" t="str">
        <f t="shared" ca="1" si="3"/>
        <v>Cassandro!</v>
      </c>
      <c r="H7" s="163" t="str">
        <f t="shared" ca="1" si="4"/>
        <v>Efetivo</v>
      </c>
      <c r="I7" s="163" t="str">
        <f t="shared" ca="1" si="5"/>
        <v>Cassandro Vidal Talamini Do Amarante</v>
      </c>
      <c r="J7" s="163" t="str">
        <f t="shared" ca="1" si="6"/>
        <v>Doutor(a)</v>
      </c>
      <c r="K7" s="163" t="str">
        <f t="shared" ca="1" si="7"/>
        <v>Dedicação Integral</v>
      </c>
      <c r="L7" s="166" t="str">
        <f t="shared" ca="1" si="8"/>
        <v>40 h</v>
      </c>
      <c r="M7" s="164">
        <f t="shared" ca="1" si="23"/>
        <v>0</v>
      </c>
      <c r="N7" s="164">
        <f t="shared" ca="1" si="10"/>
        <v>0</v>
      </c>
      <c r="O7" s="164">
        <f t="shared" ca="1" si="11"/>
        <v>0</v>
      </c>
      <c r="P7" s="164">
        <f t="shared" ca="1" si="12"/>
        <v>0</v>
      </c>
      <c r="Q7" s="164">
        <f t="shared" ca="1" si="13"/>
        <v>0</v>
      </c>
      <c r="R7" s="164">
        <f t="shared" ca="1" si="14"/>
        <v>0</v>
      </c>
      <c r="S7" s="164">
        <f t="shared" ca="1" si="15"/>
        <v>0</v>
      </c>
      <c r="T7" s="164">
        <f t="shared" ca="1" si="16"/>
        <v>0</v>
      </c>
      <c r="U7" s="164">
        <f t="shared" ca="1" si="17"/>
        <v>0</v>
      </c>
      <c r="V7" s="164">
        <f t="shared" ca="1" si="18"/>
        <v>0</v>
      </c>
      <c r="W7" s="164">
        <f t="shared" ca="1" si="19"/>
        <v>0</v>
      </c>
      <c r="X7" s="164">
        <f t="shared" ca="1" si="20"/>
        <v>40</v>
      </c>
      <c r="Y7" s="164">
        <f t="shared" ca="1" si="24"/>
        <v>40</v>
      </c>
      <c r="AA7">
        <f t="shared" ca="1" si="25"/>
        <v>0</v>
      </c>
      <c r="AB7">
        <f t="shared" ca="1" si="21"/>
        <v>0</v>
      </c>
      <c r="AC7">
        <f t="shared" ca="1" si="21"/>
        <v>0</v>
      </c>
      <c r="AD7">
        <f t="shared" ca="1" si="21"/>
        <v>0</v>
      </c>
      <c r="AE7">
        <f t="shared" ca="1" si="21"/>
        <v>0</v>
      </c>
      <c r="AF7">
        <f t="shared" ca="1" si="21"/>
        <v>0</v>
      </c>
      <c r="AG7">
        <f t="shared" ca="1" si="21"/>
        <v>0</v>
      </c>
      <c r="AH7">
        <f t="shared" ca="1" si="21"/>
        <v>0</v>
      </c>
      <c r="AI7">
        <f t="shared" ca="1" si="21"/>
        <v>0</v>
      </c>
      <c r="AJ7">
        <f t="shared" ca="1" si="21"/>
        <v>0</v>
      </c>
      <c r="AK7">
        <f t="shared" ca="1" si="21"/>
        <v>0</v>
      </c>
      <c r="AL7">
        <f t="shared" ca="1" si="21"/>
        <v>40</v>
      </c>
      <c r="AM7">
        <f t="shared" ca="1" si="21"/>
        <v>40</v>
      </c>
      <c r="AO7">
        <f t="shared" ca="1" si="26"/>
        <v>0</v>
      </c>
      <c r="AP7">
        <f t="shared" ca="1" si="22"/>
        <v>0</v>
      </c>
      <c r="AQ7">
        <f t="shared" ca="1" si="22"/>
        <v>0</v>
      </c>
      <c r="AR7">
        <f t="shared" ca="1" si="22"/>
        <v>0</v>
      </c>
      <c r="AS7">
        <f t="shared" ca="1" si="22"/>
        <v>0</v>
      </c>
      <c r="AT7">
        <f t="shared" ca="1" si="22"/>
        <v>0</v>
      </c>
      <c r="AU7">
        <f t="shared" ca="1" si="22"/>
        <v>0</v>
      </c>
      <c r="AV7">
        <f t="shared" ca="1" si="22"/>
        <v>0</v>
      </c>
      <c r="AW7">
        <f t="shared" ca="1" si="22"/>
        <v>0</v>
      </c>
      <c r="AX7">
        <f t="shared" ca="1" si="22"/>
        <v>0</v>
      </c>
      <c r="AY7">
        <f t="shared" ca="1" si="22"/>
        <v>0</v>
      </c>
      <c r="AZ7">
        <f t="shared" ca="1" si="22"/>
        <v>0</v>
      </c>
      <c r="BA7">
        <f t="shared" ca="1" si="22"/>
        <v>0</v>
      </c>
    </row>
    <row r="8" spans="1:53" x14ac:dyDescent="0.25">
      <c r="A8" s="161" t="str">
        <f ca="1">CELL("nome.arquivo",Celio!$A$1:$K$1)</f>
        <v>U:\PLANILHAS DE OCUPAÇÃO DOCENTE\Planos de Trabalho\Planos de Trabalho 2025.1\[Simulador PTI Validado com POD AGRO Automático.xlsx]Celio</v>
      </c>
      <c r="B8" s="161">
        <f t="shared" ca="1" si="0"/>
        <v>131</v>
      </c>
      <c r="C8" s="161">
        <f t="shared" ca="1" si="1"/>
        <v>136</v>
      </c>
      <c r="D8" s="161" t="str">
        <f t="shared" ca="1" si="2"/>
        <v>Celio</v>
      </c>
      <c r="E8" s="162" t="s">
        <v>1408</v>
      </c>
      <c r="F8" s="161" t="str">
        <f t="shared" ca="1" si="3"/>
        <v>Celio!</v>
      </c>
      <c r="H8" s="163" t="str">
        <f t="shared" ca="1" si="4"/>
        <v>Efetivo</v>
      </c>
      <c r="I8" s="163" t="str">
        <f t="shared" ca="1" si="5"/>
        <v>Célio Orli Cardoso</v>
      </c>
      <c r="J8" s="163" t="str">
        <f t="shared" ca="1" si="6"/>
        <v>Doutor(a)</v>
      </c>
      <c r="K8" s="163" t="str">
        <f t="shared" ca="1" si="7"/>
        <v>Dedicação Integral</v>
      </c>
      <c r="L8" s="166" t="str">
        <f t="shared" ca="1" si="8"/>
        <v>40 h</v>
      </c>
      <c r="M8" s="164">
        <f t="shared" ca="1" si="23"/>
        <v>12</v>
      </c>
      <c r="N8" s="164">
        <f t="shared" ca="1" si="10"/>
        <v>0</v>
      </c>
      <c r="O8" s="164">
        <f t="shared" ca="1" si="11"/>
        <v>18</v>
      </c>
      <c r="P8" s="164">
        <f t="shared" ca="1" si="12"/>
        <v>0</v>
      </c>
      <c r="Q8" s="164">
        <f t="shared" ca="1" si="13"/>
        <v>4</v>
      </c>
      <c r="R8" s="164">
        <f t="shared" ca="1" si="14"/>
        <v>0</v>
      </c>
      <c r="S8" s="164">
        <f t="shared" ca="1" si="15"/>
        <v>0</v>
      </c>
      <c r="T8" s="164">
        <f t="shared" ca="1" si="16"/>
        <v>0</v>
      </c>
      <c r="U8" s="164">
        <f t="shared" ca="1" si="17"/>
        <v>9</v>
      </c>
      <c r="V8" s="164">
        <f t="shared" ca="1" si="18"/>
        <v>0</v>
      </c>
      <c r="W8" s="164">
        <f t="shared" ca="1" si="19"/>
        <v>0</v>
      </c>
      <c r="X8" s="164">
        <f t="shared" ca="1" si="20"/>
        <v>0</v>
      </c>
      <c r="Y8" s="164">
        <f t="shared" ca="1" si="24"/>
        <v>43</v>
      </c>
      <c r="AA8">
        <f t="shared" ca="1" si="25"/>
        <v>12</v>
      </c>
      <c r="AB8">
        <f t="shared" ca="1" si="21"/>
        <v>0</v>
      </c>
      <c r="AC8">
        <f t="shared" ca="1" si="21"/>
        <v>18</v>
      </c>
      <c r="AD8">
        <f t="shared" ca="1" si="21"/>
        <v>0</v>
      </c>
      <c r="AE8">
        <f t="shared" ca="1" si="21"/>
        <v>4</v>
      </c>
      <c r="AF8">
        <f t="shared" ca="1" si="21"/>
        <v>0</v>
      </c>
      <c r="AG8">
        <f t="shared" ca="1" si="21"/>
        <v>0</v>
      </c>
      <c r="AH8">
        <f t="shared" ca="1" si="21"/>
        <v>0</v>
      </c>
      <c r="AI8">
        <f t="shared" ca="1" si="21"/>
        <v>9</v>
      </c>
      <c r="AJ8">
        <f t="shared" ca="1" si="21"/>
        <v>0</v>
      </c>
      <c r="AK8">
        <f t="shared" ca="1" si="21"/>
        <v>0</v>
      </c>
      <c r="AL8">
        <f t="shared" ca="1" si="21"/>
        <v>0</v>
      </c>
      <c r="AM8">
        <f t="shared" ca="1" si="21"/>
        <v>43</v>
      </c>
      <c r="AO8">
        <f t="shared" ca="1" si="26"/>
        <v>0</v>
      </c>
      <c r="AP8">
        <f t="shared" ca="1" si="22"/>
        <v>0</v>
      </c>
      <c r="AQ8">
        <f t="shared" ca="1" si="22"/>
        <v>0</v>
      </c>
      <c r="AR8">
        <f t="shared" ca="1" si="22"/>
        <v>0</v>
      </c>
      <c r="AS8">
        <f t="shared" ca="1" si="22"/>
        <v>0</v>
      </c>
      <c r="AT8">
        <f t="shared" ca="1" si="22"/>
        <v>0</v>
      </c>
      <c r="AU8">
        <f t="shared" ca="1" si="22"/>
        <v>0</v>
      </c>
      <c r="AV8">
        <f t="shared" ca="1" si="22"/>
        <v>0</v>
      </c>
      <c r="AW8">
        <f t="shared" ca="1" si="22"/>
        <v>0</v>
      </c>
      <c r="AX8">
        <f t="shared" ca="1" si="22"/>
        <v>0</v>
      </c>
      <c r="AY8">
        <f t="shared" ca="1" si="22"/>
        <v>0</v>
      </c>
      <c r="AZ8">
        <f t="shared" ca="1" si="22"/>
        <v>0</v>
      </c>
      <c r="BA8">
        <f t="shared" ca="1" si="22"/>
        <v>0</v>
      </c>
    </row>
    <row r="9" spans="1:53" x14ac:dyDescent="0.25">
      <c r="A9" s="161" t="str">
        <f ca="1">CELL("nome.arquivo",Cileide!$A$1:$K$1)</f>
        <v>U:\PLANILHAS DE OCUPAÇÃO DOCENTE\Planos de Trabalho\Planos de Trabalho 2025.1\[Simulador PTI Validado com POD AGRO Automático.xlsx]Cileide</v>
      </c>
      <c r="B9" s="161">
        <f t="shared" ca="1" si="0"/>
        <v>131</v>
      </c>
      <c r="C9" s="161">
        <f t="shared" ca="1" si="1"/>
        <v>138</v>
      </c>
      <c r="D9" s="161" t="str">
        <f t="shared" ca="1" si="2"/>
        <v>Cileide</v>
      </c>
      <c r="E9" s="162" t="s">
        <v>1408</v>
      </c>
      <c r="F9" s="161" t="str">
        <f t="shared" ca="1" si="3"/>
        <v>Cileide!</v>
      </c>
      <c r="H9" s="163" t="str">
        <f t="shared" ca="1" si="4"/>
        <v>Efetivo</v>
      </c>
      <c r="I9" s="163" t="str">
        <f t="shared" ca="1" si="5"/>
        <v>Cileide Maria Medeiros Coelho Arruda De Souza</v>
      </c>
      <c r="J9" s="163" t="str">
        <f t="shared" ca="1" si="6"/>
        <v>Doutor(a)</v>
      </c>
      <c r="K9" s="163" t="str">
        <f t="shared" ca="1" si="7"/>
        <v>Dedicação Integral</v>
      </c>
      <c r="L9" s="166" t="str">
        <f t="shared" ca="1" si="8"/>
        <v>40 h</v>
      </c>
      <c r="M9" s="164">
        <f t="shared" ca="1" si="23"/>
        <v>5</v>
      </c>
      <c r="N9" s="164">
        <f t="shared" ca="1" si="10"/>
        <v>6</v>
      </c>
      <c r="O9" s="164">
        <f t="shared" ca="1" si="11"/>
        <v>11</v>
      </c>
      <c r="P9" s="164">
        <f t="shared" ca="1" si="12"/>
        <v>6</v>
      </c>
      <c r="Q9" s="164">
        <f t="shared" ca="1" si="13"/>
        <v>12</v>
      </c>
      <c r="R9" s="164">
        <f t="shared" ca="1" si="14"/>
        <v>5</v>
      </c>
      <c r="S9" s="164">
        <f t="shared" ca="1" si="15"/>
        <v>0</v>
      </c>
      <c r="T9" s="164">
        <f t="shared" ca="1" si="16"/>
        <v>0</v>
      </c>
      <c r="U9" s="164">
        <f t="shared" ca="1" si="17"/>
        <v>5</v>
      </c>
      <c r="V9" s="164">
        <f t="shared" ca="1" si="18"/>
        <v>0</v>
      </c>
      <c r="W9" s="164">
        <f t="shared" ca="1" si="19"/>
        <v>0</v>
      </c>
      <c r="X9" s="164">
        <f t="shared" ca="1" si="20"/>
        <v>0</v>
      </c>
      <c r="Y9" s="164">
        <f t="shared" ca="1" si="24"/>
        <v>50</v>
      </c>
      <c r="AA9">
        <f t="shared" ca="1" si="25"/>
        <v>5</v>
      </c>
      <c r="AB9">
        <f t="shared" ca="1" si="21"/>
        <v>6</v>
      </c>
      <c r="AC9">
        <f t="shared" ca="1" si="21"/>
        <v>11</v>
      </c>
      <c r="AD9">
        <f t="shared" ca="1" si="21"/>
        <v>6</v>
      </c>
      <c r="AE9">
        <f t="shared" ca="1" si="21"/>
        <v>12</v>
      </c>
      <c r="AF9">
        <f t="shared" ca="1" si="21"/>
        <v>5</v>
      </c>
      <c r="AG9">
        <f t="shared" ca="1" si="21"/>
        <v>0</v>
      </c>
      <c r="AH9">
        <f t="shared" ca="1" si="21"/>
        <v>0</v>
      </c>
      <c r="AI9">
        <f t="shared" ca="1" si="21"/>
        <v>5</v>
      </c>
      <c r="AJ9">
        <f t="shared" ca="1" si="21"/>
        <v>0</v>
      </c>
      <c r="AK9">
        <f t="shared" ca="1" si="21"/>
        <v>0</v>
      </c>
      <c r="AL9">
        <f t="shared" ca="1" si="21"/>
        <v>0</v>
      </c>
      <c r="AM9">
        <f t="shared" ca="1" si="21"/>
        <v>50</v>
      </c>
      <c r="AO9">
        <f t="shared" ca="1" si="26"/>
        <v>0</v>
      </c>
      <c r="AP9">
        <f t="shared" ca="1" si="22"/>
        <v>0</v>
      </c>
      <c r="AQ9">
        <f t="shared" ca="1" si="22"/>
        <v>0</v>
      </c>
      <c r="AR9">
        <f t="shared" ca="1" si="22"/>
        <v>0</v>
      </c>
      <c r="AS9">
        <f t="shared" ca="1" si="22"/>
        <v>0</v>
      </c>
      <c r="AT9">
        <f t="shared" ca="1" si="22"/>
        <v>0</v>
      </c>
      <c r="AU9">
        <f t="shared" ca="1" si="22"/>
        <v>0</v>
      </c>
      <c r="AV9">
        <f t="shared" ca="1" si="22"/>
        <v>0</v>
      </c>
      <c r="AW9">
        <f t="shared" ca="1" si="22"/>
        <v>0</v>
      </c>
      <c r="AX9">
        <f t="shared" ca="1" si="22"/>
        <v>0</v>
      </c>
      <c r="AY9">
        <f t="shared" ca="1" si="22"/>
        <v>0</v>
      </c>
      <c r="AZ9">
        <f t="shared" ca="1" si="22"/>
        <v>0</v>
      </c>
      <c r="BA9">
        <f t="shared" ca="1" si="22"/>
        <v>0</v>
      </c>
    </row>
    <row r="10" spans="1:53" x14ac:dyDescent="0.25">
      <c r="A10" s="161" t="str">
        <f ca="1">CELL("nome.arquivo",Claudio!$A$1:$K$1)</f>
        <v>U:\PLANILHAS DE OCUPAÇÃO DOCENTE\Planos de Trabalho\Planos de Trabalho 2025.1\[Simulador PTI Validado com POD AGRO Automático.xlsx]Claudio</v>
      </c>
      <c r="B10" s="161">
        <f t="shared" ca="1" si="0"/>
        <v>131</v>
      </c>
      <c r="C10" s="161">
        <f t="shared" ca="1" si="1"/>
        <v>138</v>
      </c>
      <c r="D10" s="161" t="str">
        <f t="shared" ca="1" si="2"/>
        <v>Claudio</v>
      </c>
      <c r="E10" s="162" t="s">
        <v>1408</v>
      </c>
      <c r="F10" s="161" t="str">
        <f t="shared" ca="1" si="3"/>
        <v>Claudio!</v>
      </c>
      <c r="H10" s="163" t="str">
        <f t="shared" ca="1" si="4"/>
        <v>Efetivo</v>
      </c>
      <c r="I10" s="163" t="str">
        <f t="shared" ca="1" si="5"/>
        <v>Claúdio Roberto Franco</v>
      </c>
      <c r="J10" s="163" t="str">
        <f t="shared" ca="1" si="6"/>
        <v>Doutor(a)</v>
      </c>
      <c r="K10" s="163" t="str">
        <f t="shared" ca="1" si="7"/>
        <v>Dedicação Integral</v>
      </c>
      <c r="L10" s="166" t="str">
        <f t="shared" ca="1" si="8"/>
        <v>40 h</v>
      </c>
      <c r="M10" s="164">
        <f t="shared" ca="1" si="23"/>
        <v>11</v>
      </c>
      <c r="N10" s="164">
        <f t="shared" ca="1" si="10"/>
        <v>2</v>
      </c>
      <c r="O10" s="164">
        <f t="shared" ca="1" si="11"/>
        <v>13</v>
      </c>
      <c r="P10" s="164">
        <f t="shared" ca="1" si="12"/>
        <v>3</v>
      </c>
      <c r="Q10" s="164">
        <f t="shared" ca="1" si="13"/>
        <v>2</v>
      </c>
      <c r="R10" s="164">
        <f t="shared" ca="1" si="14"/>
        <v>6</v>
      </c>
      <c r="S10" s="164">
        <f t="shared" ca="1" si="15"/>
        <v>0</v>
      </c>
      <c r="T10" s="164">
        <f t="shared" ca="1" si="16"/>
        <v>3</v>
      </c>
      <c r="U10" s="164">
        <f t="shared" ca="1" si="17"/>
        <v>37</v>
      </c>
      <c r="V10" s="164">
        <f t="shared" ca="1" si="18"/>
        <v>0</v>
      </c>
      <c r="W10" s="164">
        <f t="shared" ca="1" si="19"/>
        <v>0</v>
      </c>
      <c r="X10" s="164">
        <f t="shared" ca="1" si="20"/>
        <v>0</v>
      </c>
      <c r="Y10" s="164">
        <f t="shared" ca="1" si="24"/>
        <v>77</v>
      </c>
      <c r="AA10">
        <f t="shared" ca="1" si="25"/>
        <v>11</v>
      </c>
      <c r="AB10">
        <f t="shared" ca="1" si="21"/>
        <v>2</v>
      </c>
      <c r="AC10">
        <f t="shared" ca="1" si="21"/>
        <v>13</v>
      </c>
      <c r="AD10">
        <f t="shared" ca="1" si="21"/>
        <v>3</v>
      </c>
      <c r="AE10">
        <f t="shared" ca="1" si="21"/>
        <v>2</v>
      </c>
      <c r="AF10">
        <f t="shared" ca="1" si="21"/>
        <v>6</v>
      </c>
      <c r="AG10">
        <f t="shared" ca="1" si="21"/>
        <v>0</v>
      </c>
      <c r="AH10">
        <f t="shared" ca="1" si="21"/>
        <v>3</v>
      </c>
      <c r="AI10">
        <f t="shared" ca="1" si="21"/>
        <v>37</v>
      </c>
      <c r="AJ10">
        <f t="shared" ca="1" si="21"/>
        <v>0</v>
      </c>
      <c r="AK10">
        <f t="shared" ca="1" si="21"/>
        <v>0</v>
      </c>
      <c r="AL10">
        <f t="shared" ca="1" si="21"/>
        <v>0</v>
      </c>
      <c r="AM10">
        <f t="shared" ca="1" si="21"/>
        <v>77</v>
      </c>
      <c r="AO10">
        <f t="shared" ca="1" si="26"/>
        <v>0</v>
      </c>
      <c r="AP10">
        <f t="shared" ca="1" si="22"/>
        <v>0</v>
      </c>
      <c r="AQ10">
        <f t="shared" ca="1" si="22"/>
        <v>0</v>
      </c>
      <c r="AR10">
        <f t="shared" ca="1" si="22"/>
        <v>0</v>
      </c>
      <c r="AS10">
        <f t="shared" ca="1" si="22"/>
        <v>0</v>
      </c>
      <c r="AT10">
        <f t="shared" ca="1" si="22"/>
        <v>0</v>
      </c>
      <c r="AU10">
        <f t="shared" ca="1" si="22"/>
        <v>0</v>
      </c>
      <c r="AV10">
        <f t="shared" ca="1" si="22"/>
        <v>0</v>
      </c>
      <c r="AW10">
        <f t="shared" ca="1" si="22"/>
        <v>0</v>
      </c>
      <c r="AX10">
        <f t="shared" ca="1" si="22"/>
        <v>0</v>
      </c>
      <c r="AY10">
        <f t="shared" ca="1" si="22"/>
        <v>0</v>
      </c>
      <c r="AZ10">
        <f t="shared" ca="1" si="22"/>
        <v>0</v>
      </c>
      <c r="BA10">
        <f t="shared" ca="1" si="22"/>
        <v>0</v>
      </c>
    </row>
    <row r="11" spans="1:53" x14ac:dyDescent="0.25">
      <c r="A11" s="161" t="str">
        <f ca="1">CELL("nome.arquivo",Clovis!$A$1:$K$1)</f>
        <v>U:\PLANILHAS DE OCUPAÇÃO DOCENTE\Planos de Trabalho\Planos de Trabalho 2025.1\[Simulador PTI Validado com POD AGRO Automático.xlsx]Clovis</v>
      </c>
      <c r="B11" s="161">
        <f t="shared" ca="1" si="0"/>
        <v>131</v>
      </c>
      <c r="C11" s="161">
        <f t="shared" ca="1" si="1"/>
        <v>137</v>
      </c>
      <c r="D11" s="161" t="str">
        <f t="shared" ca="1" si="2"/>
        <v>Clovis</v>
      </c>
      <c r="E11" s="162" t="s">
        <v>1408</v>
      </c>
      <c r="F11" s="161" t="str">
        <f t="shared" ca="1" si="3"/>
        <v>Clovis!</v>
      </c>
      <c r="H11" s="163" t="str">
        <f t="shared" ca="1" si="4"/>
        <v>Efetivo</v>
      </c>
      <c r="I11" s="163" t="str">
        <f t="shared" ca="1" si="5"/>
        <v xml:space="preserve">Clóvis Eliseu Gewehr </v>
      </c>
      <c r="J11" s="163" t="str">
        <f t="shared" ca="1" si="6"/>
        <v>Doutor(a)</v>
      </c>
      <c r="K11" s="163" t="str">
        <f t="shared" ca="1" si="7"/>
        <v>Dedicação Integral</v>
      </c>
      <c r="L11" s="166" t="str">
        <f t="shared" ca="1" si="8"/>
        <v>40 h</v>
      </c>
      <c r="M11" s="164">
        <f t="shared" ca="1" si="23"/>
        <v>4</v>
      </c>
      <c r="N11" s="164">
        <f t="shared" ca="1" si="10"/>
        <v>4</v>
      </c>
      <c r="O11" s="164">
        <f t="shared" ca="1" si="11"/>
        <v>8</v>
      </c>
      <c r="P11" s="164">
        <f t="shared" ca="1" si="12"/>
        <v>13</v>
      </c>
      <c r="Q11" s="164">
        <f t="shared" ca="1" si="13"/>
        <v>14</v>
      </c>
      <c r="R11" s="164">
        <f t="shared" ca="1" si="14"/>
        <v>2</v>
      </c>
      <c r="S11" s="164">
        <f t="shared" ca="1" si="15"/>
        <v>0</v>
      </c>
      <c r="T11" s="164">
        <f t="shared" ca="1" si="16"/>
        <v>0</v>
      </c>
      <c r="U11" s="164">
        <f t="shared" ca="1" si="17"/>
        <v>9</v>
      </c>
      <c r="V11" s="164">
        <f t="shared" ca="1" si="18"/>
        <v>0</v>
      </c>
      <c r="W11" s="164">
        <f t="shared" ca="1" si="19"/>
        <v>0</v>
      </c>
      <c r="X11" s="164">
        <f t="shared" ca="1" si="20"/>
        <v>0</v>
      </c>
      <c r="Y11" s="164">
        <f t="shared" ca="1" si="24"/>
        <v>54</v>
      </c>
      <c r="AA11">
        <f t="shared" ca="1" si="25"/>
        <v>4</v>
      </c>
      <c r="AB11">
        <f t="shared" ca="1" si="21"/>
        <v>4</v>
      </c>
      <c r="AC11">
        <f t="shared" ca="1" si="21"/>
        <v>8</v>
      </c>
      <c r="AD11">
        <f t="shared" ca="1" si="21"/>
        <v>13</v>
      </c>
      <c r="AE11">
        <f t="shared" ca="1" si="21"/>
        <v>14</v>
      </c>
      <c r="AF11">
        <f t="shared" ca="1" si="21"/>
        <v>2</v>
      </c>
      <c r="AG11">
        <f t="shared" ca="1" si="21"/>
        <v>0</v>
      </c>
      <c r="AH11">
        <f t="shared" ca="1" si="21"/>
        <v>0</v>
      </c>
      <c r="AI11">
        <f t="shared" ca="1" si="21"/>
        <v>9</v>
      </c>
      <c r="AJ11">
        <f t="shared" ca="1" si="21"/>
        <v>0</v>
      </c>
      <c r="AK11">
        <f t="shared" ca="1" si="21"/>
        <v>0</v>
      </c>
      <c r="AL11">
        <f t="shared" ca="1" si="21"/>
        <v>0</v>
      </c>
      <c r="AM11">
        <f t="shared" ca="1" si="21"/>
        <v>54</v>
      </c>
      <c r="AO11">
        <f t="shared" ca="1" si="26"/>
        <v>0</v>
      </c>
      <c r="AP11">
        <f t="shared" ca="1" si="22"/>
        <v>0</v>
      </c>
      <c r="AQ11">
        <f t="shared" ca="1" si="22"/>
        <v>0</v>
      </c>
      <c r="AR11">
        <f t="shared" ca="1" si="22"/>
        <v>0</v>
      </c>
      <c r="AS11">
        <f t="shared" ca="1" si="22"/>
        <v>0</v>
      </c>
      <c r="AT11">
        <f t="shared" ca="1" si="22"/>
        <v>0</v>
      </c>
      <c r="AU11">
        <f t="shared" ca="1" si="22"/>
        <v>0</v>
      </c>
      <c r="AV11">
        <f t="shared" ca="1" si="22"/>
        <v>0</v>
      </c>
      <c r="AW11">
        <f t="shared" ca="1" si="22"/>
        <v>0</v>
      </c>
      <c r="AX11">
        <f t="shared" ca="1" si="22"/>
        <v>0</v>
      </c>
      <c r="AY11">
        <f t="shared" ca="1" si="22"/>
        <v>0</v>
      </c>
      <c r="AZ11">
        <f t="shared" ca="1" si="22"/>
        <v>0</v>
      </c>
      <c r="BA11">
        <f t="shared" ca="1" si="22"/>
        <v>0</v>
      </c>
    </row>
    <row r="12" spans="1:53" x14ac:dyDescent="0.25">
      <c r="A12" s="161" t="str">
        <f ca="1">CELL("nome.arquivo",Cristiano!$A$1:$K$1)</f>
        <v>U:\PLANILHAS DE OCUPAÇÃO DOCENTE\Planos de Trabalho\Planos de Trabalho 2025.1\[Simulador PTI Validado com POD AGRO Automático.xlsx]Cristiano</v>
      </c>
      <c r="B12" s="161">
        <f t="shared" ca="1" si="0"/>
        <v>131</v>
      </c>
      <c r="C12" s="161">
        <f t="shared" ca="1" si="1"/>
        <v>140</v>
      </c>
      <c r="D12" s="161" t="str">
        <f t="shared" ca="1" si="2"/>
        <v>Cristiano</v>
      </c>
      <c r="E12" s="162" t="s">
        <v>1408</v>
      </c>
      <c r="F12" s="161" t="str">
        <f t="shared" ca="1" si="3"/>
        <v>Cristiano!</v>
      </c>
      <c r="H12" s="163" t="str">
        <f t="shared" ca="1" si="4"/>
        <v>Efetivo</v>
      </c>
      <c r="I12" s="163" t="str">
        <f t="shared" ca="1" si="5"/>
        <v>Cristiano André Steffens</v>
      </c>
      <c r="J12" s="163" t="str">
        <f t="shared" ca="1" si="6"/>
        <v>Doutor(a)</v>
      </c>
      <c r="K12" s="163" t="str">
        <f t="shared" ca="1" si="7"/>
        <v>Dedicação Integral</v>
      </c>
      <c r="L12" s="166" t="str">
        <f t="shared" ca="1" si="8"/>
        <v>40 h</v>
      </c>
      <c r="M12" s="164">
        <f t="shared" ca="1" si="23"/>
        <v>3</v>
      </c>
      <c r="N12" s="164">
        <f t="shared" ca="1" si="10"/>
        <v>0</v>
      </c>
      <c r="O12" s="164">
        <f t="shared" ca="1" si="11"/>
        <v>3</v>
      </c>
      <c r="P12" s="164">
        <f t="shared" ca="1" si="12"/>
        <v>9</v>
      </c>
      <c r="Q12" s="164">
        <f t="shared" ca="1" si="13"/>
        <v>18</v>
      </c>
      <c r="R12" s="164">
        <f t="shared" ca="1" si="14"/>
        <v>0</v>
      </c>
      <c r="S12" s="164">
        <f t="shared" ca="1" si="15"/>
        <v>0</v>
      </c>
      <c r="T12" s="164">
        <f t="shared" ca="1" si="16"/>
        <v>0</v>
      </c>
      <c r="U12" s="164">
        <f t="shared" ca="1" si="17"/>
        <v>25</v>
      </c>
      <c r="V12" s="164">
        <f t="shared" ca="1" si="18"/>
        <v>0</v>
      </c>
      <c r="W12" s="164">
        <f t="shared" ca="1" si="19"/>
        <v>0</v>
      </c>
      <c r="X12" s="164">
        <f t="shared" ca="1" si="20"/>
        <v>0</v>
      </c>
      <c r="Y12" s="164">
        <f t="shared" ca="1" si="24"/>
        <v>58</v>
      </c>
      <c r="AA12">
        <f t="shared" ca="1" si="25"/>
        <v>3</v>
      </c>
      <c r="AB12">
        <f t="shared" ca="1" si="21"/>
        <v>0</v>
      </c>
      <c r="AC12">
        <f t="shared" ca="1" si="21"/>
        <v>3</v>
      </c>
      <c r="AD12">
        <f t="shared" ca="1" si="21"/>
        <v>9</v>
      </c>
      <c r="AE12">
        <f t="shared" ca="1" si="21"/>
        <v>18</v>
      </c>
      <c r="AF12">
        <f t="shared" ca="1" si="21"/>
        <v>0</v>
      </c>
      <c r="AG12">
        <f t="shared" ca="1" si="21"/>
        <v>0</v>
      </c>
      <c r="AH12">
        <f t="shared" ca="1" si="21"/>
        <v>0</v>
      </c>
      <c r="AI12">
        <f t="shared" ca="1" si="21"/>
        <v>25</v>
      </c>
      <c r="AJ12">
        <f t="shared" ca="1" si="21"/>
        <v>0</v>
      </c>
      <c r="AK12">
        <f t="shared" ca="1" si="21"/>
        <v>0</v>
      </c>
      <c r="AL12">
        <f t="shared" ca="1" si="21"/>
        <v>0</v>
      </c>
      <c r="AM12">
        <f t="shared" ca="1" si="21"/>
        <v>58</v>
      </c>
      <c r="AO12">
        <f t="shared" ca="1" si="26"/>
        <v>0</v>
      </c>
      <c r="AP12">
        <f t="shared" ca="1" si="22"/>
        <v>0</v>
      </c>
      <c r="AQ12">
        <f t="shared" ca="1" si="22"/>
        <v>0</v>
      </c>
      <c r="AR12">
        <f t="shared" ca="1" si="22"/>
        <v>0</v>
      </c>
      <c r="AS12">
        <f t="shared" ca="1" si="22"/>
        <v>0</v>
      </c>
      <c r="AT12">
        <f t="shared" ca="1" si="22"/>
        <v>0</v>
      </c>
      <c r="AU12">
        <f t="shared" ca="1" si="22"/>
        <v>0</v>
      </c>
      <c r="AV12">
        <f t="shared" ca="1" si="22"/>
        <v>0</v>
      </c>
      <c r="AW12">
        <f t="shared" ca="1" si="22"/>
        <v>0</v>
      </c>
      <c r="AX12">
        <f t="shared" ca="1" si="22"/>
        <v>0</v>
      </c>
      <c r="AY12">
        <f t="shared" ca="1" si="22"/>
        <v>0</v>
      </c>
      <c r="AZ12">
        <f t="shared" ca="1" si="22"/>
        <v>0</v>
      </c>
      <c r="BA12">
        <f t="shared" ca="1" si="22"/>
        <v>0</v>
      </c>
    </row>
    <row r="13" spans="1:53" x14ac:dyDescent="0.25">
      <c r="A13" s="161" t="str">
        <f ca="1">CELL("nome.arquivo",Fabio!$A$1:$K$1)</f>
        <v>U:\PLANILHAS DE OCUPAÇÃO DOCENTE\Planos de Trabalho\Planos de Trabalho 2025.1\[Simulador PTI Validado com POD AGRO Automático.xlsx]Fabio</v>
      </c>
      <c r="B13" s="161">
        <f t="shared" ca="1" si="0"/>
        <v>131</v>
      </c>
      <c r="C13" s="161">
        <f t="shared" ca="1" si="1"/>
        <v>136</v>
      </c>
      <c r="D13" s="161" t="str">
        <f t="shared" ca="1" si="2"/>
        <v>Fabio</v>
      </c>
      <c r="E13" s="162" t="s">
        <v>1408</v>
      </c>
      <c r="F13" s="161" t="str">
        <f t="shared" ca="1" si="3"/>
        <v>Fabio!</v>
      </c>
      <c r="H13" s="163" t="str">
        <f t="shared" ca="1" si="4"/>
        <v>Efetivo</v>
      </c>
      <c r="I13" s="163" t="str">
        <f t="shared" ca="1" si="5"/>
        <v>Fábio Nascimento Da Silva</v>
      </c>
      <c r="J13" s="163" t="str">
        <f t="shared" ca="1" si="6"/>
        <v>Doutor(a)</v>
      </c>
      <c r="K13" s="163" t="str">
        <f t="shared" ca="1" si="7"/>
        <v>Dedicação Integral</v>
      </c>
      <c r="L13" s="166" t="str">
        <f t="shared" ca="1" si="8"/>
        <v>40 h</v>
      </c>
      <c r="M13" s="164">
        <f t="shared" ca="1" si="23"/>
        <v>5</v>
      </c>
      <c r="N13" s="164">
        <f t="shared" ca="1" si="10"/>
        <v>4</v>
      </c>
      <c r="O13" s="164">
        <f t="shared" ca="1" si="11"/>
        <v>9</v>
      </c>
      <c r="P13" s="164">
        <f t="shared" ca="1" si="12"/>
        <v>2</v>
      </c>
      <c r="Q13" s="164">
        <f t="shared" ca="1" si="13"/>
        <v>15</v>
      </c>
      <c r="R13" s="164">
        <f t="shared" ca="1" si="14"/>
        <v>0</v>
      </c>
      <c r="S13" s="164">
        <f t="shared" ca="1" si="15"/>
        <v>0</v>
      </c>
      <c r="T13" s="164">
        <f t="shared" ca="1" si="16"/>
        <v>0</v>
      </c>
      <c r="U13" s="164">
        <f t="shared" ca="1" si="17"/>
        <v>3</v>
      </c>
      <c r="V13" s="164">
        <f t="shared" ca="1" si="18"/>
        <v>0</v>
      </c>
      <c r="W13" s="164">
        <f t="shared" ca="1" si="19"/>
        <v>0</v>
      </c>
      <c r="X13" s="164">
        <f t="shared" ca="1" si="20"/>
        <v>0</v>
      </c>
      <c r="Y13" s="164">
        <f t="shared" ca="1" si="24"/>
        <v>38</v>
      </c>
      <c r="AA13">
        <f t="shared" ca="1" si="25"/>
        <v>5</v>
      </c>
      <c r="AB13">
        <f t="shared" ca="1" si="21"/>
        <v>4</v>
      </c>
      <c r="AC13">
        <f t="shared" ca="1" si="21"/>
        <v>9</v>
      </c>
      <c r="AD13">
        <f t="shared" ca="1" si="21"/>
        <v>2</v>
      </c>
      <c r="AE13">
        <f t="shared" ca="1" si="21"/>
        <v>15</v>
      </c>
      <c r="AF13">
        <f t="shared" ca="1" si="21"/>
        <v>0</v>
      </c>
      <c r="AG13">
        <f t="shared" ca="1" si="21"/>
        <v>0</v>
      </c>
      <c r="AH13">
        <f t="shared" ca="1" si="21"/>
        <v>0</v>
      </c>
      <c r="AI13">
        <f t="shared" ca="1" si="21"/>
        <v>3</v>
      </c>
      <c r="AJ13">
        <f t="shared" ca="1" si="21"/>
        <v>0</v>
      </c>
      <c r="AK13">
        <f t="shared" ca="1" si="21"/>
        <v>0</v>
      </c>
      <c r="AL13">
        <f t="shared" ca="1" si="21"/>
        <v>0</v>
      </c>
      <c r="AM13">
        <f t="shared" ca="1" si="21"/>
        <v>38</v>
      </c>
      <c r="AO13">
        <f t="shared" ca="1" si="26"/>
        <v>0</v>
      </c>
      <c r="AP13">
        <f t="shared" ca="1" si="22"/>
        <v>0</v>
      </c>
      <c r="AQ13">
        <f t="shared" ca="1" si="22"/>
        <v>0</v>
      </c>
      <c r="AR13">
        <f t="shared" ca="1" si="22"/>
        <v>0</v>
      </c>
      <c r="AS13">
        <f t="shared" ca="1" si="22"/>
        <v>0</v>
      </c>
      <c r="AT13">
        <f t="shared" ca="1" si="22"/>
        <v>0</v>
      </c>
      <c r="AU13">
        <f t="shared" ca="1" si="22"/>
        <v>0</v>
      </c>
      <c r="AV13">
        <f t="shared" ca="1" si="22"/>
        <v>0</v>
      </c>
      <c r="AW13">
        <f t="shared" ca="1" si="22"/>
        <v>0</v>
      </c>
      <c r="AX13">
        <f t="shared" ca="1" si="22"/>
        <v>0</v>
      </c>
      <c r="AY13">
        <f t="shared" ca="1" si="22"/>
        <v>0</v>
      </c>
      <c r="AZ13">
        <f t="shared" ca="1" si="22"/>
        <v>0</v>
      </c>
      <c r="BA13">
        <f t="shared" ca="1" si="22"/>
        <v>0</v>
      </c>
    </row>
    <row r="14" spans="1:53" x14ac:dyDescent="0.25">
      <c r="A14" s="161" t="str">
        <f ca="1">CELL("nome.arquivo",Germano!$A$1:$K$1)</f>
        <v>U:\PLANILHAS DE OCUPAÇÃO DOCENTE\Planos de Trabalho\Planos de Trabalho 2025.1\[Simulador PTI Validado com POD AGRO Automático.xlsx]Germano</v>
      </c>
      <c r="B14" s="161">
        <f t="shared" ca="1" si="0"/>
        <v>131</v>
      </c>
      <c r="C14" s="161">
        <f t="shared" ca="1" si="1"/>
        <v>138</v>
      </c>
      <c r="D14" s="161" t="str">
        <f t="shared" ca="1" si="2"/>
        <v>Germano</v>
      </c>
      <c r="E14" s="162" t="s">
        <v>1408</v>
      </c>
      <c r="F14" s="161" t="str">
        <f t="shared" ca="1" si="3"/>
        <v>Germano!</v>
      </c>
      <c r="H14" s="163" t="str">
        <f t="shared" ca="1" si="4"/>
        <v>Efetivo</v>
      </c>
      <c r="I14" s="163" t="str">
        <f t="shared" ca="1" si="5"/>
        <v>Germano Güttler</v>
      </c>
      <c r="J14" s="163" t="str">
        <f t="shared" ca="1" si="6"/>
        <v>Doutor(a)</v>
      </c>
      <c r="K14" s="163" t="str">
        <f t="shared" ca="1" si="7"/>
        <v>Dedicação Integral</v>
      </c>
      <c r="L14" s="166" t="str">
        <f t="shared" ca="1" si="8"/>
        <v>40 h</v>
      </c>
      <c r="M14" s="164">
        <f t="shared" ca="1" si="23"/>
        <v>2</v>
      </c>
      <c r="N14" s="164">
        <f t="shared" ca="1" si="10"/>
        <v>0</v>
      </c>
      <c r="O14" s="164">
        <f t="shared" ca="1" si="11"/>
        <v>1</v>
      </c>
      <c r="P14" s="164">
        <f t="shared" ca="1" si="12"/>
        <v>0</v>
      </c>
      <c r="Q14" s="164">
        <f t="shared" ca="1" si="13"/>
        <v>0</v>
      </c>
      <c r="R14" s="164">
        <f t="shared" ca="1" si="14"/>
        <v>10</v>
      </c>
      <c r="S14" s="164">
        <f t="shared" ca="1" si="15"/>
        <v>0</v>
      </c>
      <c r="T14" s="164">
        <f t="shared" ca="1" si="16"/>
        <v>0</v>
      </c>
      <c r="U14" s="164">
        <f t="shared" ca="1" si="17"/>
        <v>0</v>
      </c>
      <c r="V14" s="164">
        <f t="shared" ca="1" si="18"/>
        <v>0</v>
      </c>
      <c r="W14" s="164">
        <f t="shared" ca="1" si="19"/>
        <v>0</v>
      </c>
      <c r="X14" s="164">
        <f t="shared" ca="1" si="20"/>
        <v>0</v>
      </c>
      <c r="Y14" s="164">
        <f t="shared" ca="1" si="24"/>
        <v>13</v>
      </c>
      <c r="AA14">
        <f t="shared" ca="1" si="25"/>
        <v>2</v>
      </c>
      <c r="AB14">
        <f t="shared" ca="1" si="21"/>
        <v>0</v>
      </c>
      <c r="AC14">
        <f t="shared" ca="1" si="21"/>
        <v>1</v>
      </c>
      <c r="AD14">
        <f t="shared" ca="1" si="21"/>
        <v>0</v>
      </c>
      <c r="AE14">
        <f t="shared" ca="1" si="21"/>
        <v>0</v>
      </c>
      <c r="AF14">
        <f t="shared" ca="1" si="21"/>
        <v>10</v>
      </c>
      <c r="AG14">
        <f t="shared" ca="1" si="21"/>
        <v>0</v>
      </c>
      <c r="AH14">
        <f t="shared" ca="1" si="21"/>
        <v>0</v>
      </c>
      <c r="AI14">
        <f t="shared" ca="1" si="21"/>
        <v>0</v>
      </c>
      <c r="AJ14">
        <f t="shared" ca="1" si="21"/>
        <v>0</v>
      </c>
      <c r="AK14">
        <f t="shared" ca="1" si="21"/>
        <v>0</v>
      </c>
      <c r="AL14">
        <f t="shared" ca="1" si="21"/>
        <v>0</v>
      </c>
      <c r="AM14">
        <f t="shared" ca="1" si="21"/>
        <v>13</v>
      </c>
      <c r="AO14">
        <f t="shared" ca="1" si="26"/>
        <v>0</v>
      </c>
      <c r="AP14">
        <f t="shared" ca="1" si="22"/>
        <v>0</v>
      </c>
      <c r="AQ14">
        <f t="shared" ca="1" si="22"/>
        <v>0</v>
      </c>
      <c r="AR14">
        <f t="shared" ca="1" si="22"/>
        <v>0</v>
      </c>
      <c r="AS14">
        <f t="shared" ca="1" si="22"/>
        <v>0</v>
      </c>
      <c r="AT14">
        <f t="shared" ca="1" si="22"/>
        <v>0</v>
      </c>
      <c r="AU14">
        <f t="shared" ca="1" si="22"/>
        <v>0</v>
      </c>
      <c r="AV14">
        <f t="shared" ca="1" si="22"/>
        <v>0</v>
      </c>
      <c r="AW14">
        <f t="shared" ca="1" si="22"/>
        <v>0</v>
      </c>
      <c r="AX14">
        <f t="shared" ca="1" si="22"/>
        <v>0</v>
      </c>
      <c r="AY14">
        <f t="shared" ca="1" si="22"/>
        <v>0</v>
      </c>
      <c r="AZ14">
        <f t="shared" ca="1" si="22"/>
        <v>0</v>
      </c>
      <c r="BA14">
        <f t="shared" ca="1" si="22"/>
        <v>0</v>
      </c>
    </row>
    <row r="15" spans="1:53" x14ac:dyDescent="0.25">
      <c r="A15" s="161" t="str">
        <f ca="1">CELL("nome.arquivo",Jefferson!$A$1:$K$1)</f>
        <v>U:\PLANILHAS DE OCUPAÇÃO DOCENTE\Planos de Trabalho\Planos de Trabalho 2025.1\[Simulador PTI Validado com POD AGRO Automático.xlsx]Jefferson</v>
      </c>
      <c r="B15" s="161">
        <f t="shared" ca="1" si="0"/>
        <v>131</v>
      </c>
      <c r="C15" s="161">
        <f t="shared" ca="1" si="1"/>
        <v>140</v>
      </c>
      <c r="D15" s="161" t="str">
        <f t="shared" ca="1" si="2"/>
        <v>Jefferson</v>
      </c>
      <c r="E15" s="162" t="s">
        <v>1408</v>
      </c>
      <c r="F15" s="161" t="str">
        <f t="shared" ca="1" si="3"/>
        <v>Jefferson!</v>
      </c>
      <c r="H15" s="163" t="str">
        <f t="shared" ca="1" si="4"/>
        <v>Efetivo</v>
      </c>
      <c r="I15" s="163" t="str">
        <f t="shared" ca="1" si="5"/>
        <v>Jefferson Luís Meirelles Coimbra</v>
      </c>
      <c r="J15" s="163" t="str">
        <f t="shared" ca="1" si="6"/>
        <v>Doutor(a)</v>
      </c>
      <c r="K15" s="163" t="str">
        <f t="shared" ca="1" si="7"/>
        <v>Dedicação Integral</v>
      </c>
      <c r="L15" s="166" t="str">
        <f t="shared" ca="1" si="8"/>
        <v>40 h</v>
      </c>
      <c r="M15" s="164">
        <f t="shared" ca="1" si="23"/>
        <v>4</v>
      </c>
      <c r="N15" s="164">
        <f t="shared" ca="1" si="10"/>
        <v>4</v>
      </c>
      <c r="O15" s="164">
        <f t="shared" ca="1" si="11"/>
        <v>8</v>
      </c>
      <c r="P15" s="164">
        <f t="shared" ca="1" si="12"/>
        <v>6</v>
      </c>
      <c r="Q15" s="164">
        <f t="shared" ca="1" si="13"/>
        <v>19</v>
      </c>
      <c r="R15" s="164">
        <f t="shared" ca="1" si="14"/>
        <v>0</v>
      </c>
      <c r="S15" s="164">
        <f t="shared" ca="1" si="15"/>
        <v>0</v>
      </c>
      <c r="T15" s="164">
        <f t="shared" ca="1" si="16"/>
        <v>0</v>
      </c>
      <c r="U15" s="164">
        <f t="shared" ca="1" si="17"/>
        <v>5</v>
      </c>
      <c r="V15" s="164">
        <f t="shared" ca="1" si="18"/>
        <v>0</v>
      </c>
      <c r="W15" s="164">
        <f t="shared" ca="1" si="19"/>
        <v>0</v>
      </c>
      <c r="X15" s="164">
        <f t="shared" ca="1" si="20"/>
        <v>0</v>
      </c>
      <c r="Y15" s="164">
        <f t="shared" ca="1" si="24"/>
        <v>46</v>
      </c>
      <c r="AA15">
        <f t="shared" ca="1" si="25"/>
        <v>4</v>
      </c>
      <c r="AB15">
        <f t="shared" ca="1" si="21"/>
        <v>4</v>
      </c>
      <c r="AC15">
        <f t="shared" ca="1" si="21"/>
        <v>8</v>
      </c>
      <c r="AD15">
        <f t="shared" ca="1" si="21"/>
        <v>6</v>
      </c>
      <c r="AE15">
        <f t="shared" ca="1" si="21"/>
        <v>19</v>
      </c>
      <c r="AF15">
        <f t="shared" ca="1" si="21"/>
        <v>0</v>
      </c>
      <c r="AG15">
        <f t="shared" ca="1" si="21"/>
        <v>0</v>
      </c>
      <c r="AH15">
        <f t="shared" ca="1" si="21"/>
        <v>0</v>
      </c>
      <c r="AI15">
        <f t="shared" ca="1" si="21"/>
        <v>5</v>
      </c>
      <c r="AJ15">
        <f t="shared" ca="1" si="21"/>
        <v>0</v>
      </c>
      <c r="AK15">
        <f t="shared" ca="1" si="21"/>
        <v>0</v>
      </c>
      <c r="AL15">
        <f t="shared" ca="1" si="21"/>
        <v>0</v>
      </c>
      <c r="AM15">
        <f t="shared" ca="1" si="21"/>
        <v>46</v>
      </c>
      <c r="AO15">
        <f t="shared" ca="1" si="26"/>
        <v>0</v>
      </c>
      <c r="AP15">
        <f t="shared" ca="1" si="22"/>
        <v>0</v>
      </c>
      <c r="AQ15">
        <f t="shared" ca="1" si="22"/>
        <v>0</v>
      </c>
      <c r="AR15">
        <f t="shared" ca="1" si="22"/>
        <v>0</v>
      </c>
      <c r="AS15">
        <f t="shared" ca="1" si="22"/>
        <v>0</v>
      </c>
      <c r="AT15">
        <f t="shared" ca="1" si="22"/>
        <v>0</v>
      </c>
      <c r="AU15">
        <f t="shared" ca="1" si="22"/>
        <v>0</v>
      </c>
      <c r="AV15">
        <f t="shared" ca="1" si="22"/>
        <v>0</v>
      </c>
      <c r="AW15">
        <f t="shared" ca="1" si="22"/>
        <v>0</v>
      </c>
      <c r="AX15">
        <f t="shared" ca="1" si="22"/>
        <v>0</v>
      </c>
      <c r="AY15">
        <f t="shared" ca="1" si="22"/>
        <v>0</v>
      </c>
      <c r="AZ15">
        <f t="shared" ca="1" si="22"/>
        <v>0</v>
      </c>
      <c r="BA15">
        <f t="shared" ca="1" si="22"/>
        <v>0</v>
      </c>
    </row>
    <row r="16" spans="1:53" x14ac:dyDescent="0.25">
      <c r="A16" s="161" t="str">
        <f ca="1">CELL("nome.arquivo",Leo!$A$1:$K$1)</f>
        <v>U:\PLANILHAS DE OCUPAÇÃO DOCENTE\Planos de Trabalho\Planos de Trabalho 2025.1\[Simulador PTI Validado com POD AGRO Automático.xlsx]Leo</v>
      </c>
      <c r="B16" s="161">
        <f t="shared" ca="1" si="0"/>
        <v>131</v>
      </c>
      <c r="C16" s="161">
        <f t="shared" ca="1" si="1"/>
        <v>134</v>
      </c>
      <c r="D16" s="161" t="str">
        <f t="shared" ca="1" si="2"/>
        <v>Leo</v>
      </c>
      <c r="E16" s="162" t="s">
        <v>1408</v>
      </c>
      <c r="F16" s="161" t="str">
        <f t="shared" ca="1" si="3"/>
        <v>Leo!</v>
      </c>
      <c r="H16" s="163" t="str">
        <f t="shared" ca="1" si="4"/>
        <v>Efetivo</v>
      </c>
      <c r="I16" s="163" t="str">
        <f t="shared" ca="1" si="5"/>
        <v>Leo Rufato</v>
      </c>
      <c r="J16" s="163" t="str">
        <f t="shared" ca="1" si="6"/>
        <v>Doutor(a)</v>
      </c>
      <c r="K16" s="163" t="str">
        <f t="shared" ca="1" si="7"/>
        <v>Dedicação Integral</v>
      </c>
      <c r="L16" s="166" t="str">
        <f t="shared" ca="1" si="8"/>
        <v>40 h</v>
      </c>
      <c r="M16" s="164">
        <f t="shared" ca="1" si="23"/>
        <v>5</v>
      </c>
      <c r="N16" s="164">
        <f t="shared" ca="1" si="10"/>
        <v>3</v>
      </c>
      <c r="O16" s="164">
        <f t="shared" ca="1" si="11"/>
        <v>5</v>
      </c>
      <c r="P16" s="164">
        <f t="shared" ca="1" si="12"/>
        <v>8</v>
      </c>
      <c r="Q16" s="164">
        <f t="shared" ca="1" si="13"/>
        <v>10</v>
      </c>
      <c r="R16" s="164">
        <f t="shared" ca="1" si="14"/>
        <v>2</v>
      </c>
      <c r="S16" s="164">
        <f t="shared" ca="1" si="15"/>
        <v>0</v>
      </c>
      <c r="T16" s="164">
        <f t="shared" ca="1" si="16"/>
        <v>0</v>
      </c>
      <c r="U16" s="164">
        <f t="shared" ca="1" si="17"/>
        <v>4</v>
      </c>
      <c r="V16" s="164">
        <f t="shared" ca="1" si="18"/>
        <v>0</v>
      </c>
      <c r="W16" s="164">
        <f t="shared" ca="1" si="19"/>
        <v>0</v>
      </c>
      <c r="X16" s="164">
        <f t="shared" ca="1" si="20"/>
        <v>0</v>
      </c>
      <c r="Y16" s="164">
        <f t="shared" ca="1" si="24"/>
        <v>37</v>
      </c>
      <c r="AA16">
        <f t="shared" ca="1" si="25"/>
        <v>5</v>
      </c>
      <c r="AB16">
        <f t="shared" ca="1" si="21"/>
        <v>3</v>
      </c>
      <c r="AC16">
        <f t="shared" ca="1" si="21"/>
        <v>5</v>
      </c>
      <c r="AD16">
        <f t="shared" ca="1" si="21"/>
        <v>8</v>
      </c>
      <c r="AE16">
        <f t="shared" ca="1" si="21"/>
        <v>10</v>
      </c>
      <c r="AF16">
        <f t="shared" ca="1" si="21"/>
        <v>2</v>
      </c>
      <c r="AG16">
        <f t="shared" ca="1" si="21"/>
        <v>0</v>
      </c>
      <c r="AH16">
        <f t="shared" ca="1" si="21"/>
        <v>0</v>
      </c>
      <c r="AI16">
        <f t="shared" ca="1" si="21"/>
        <v>4</v>
      </c>
      <c r="AJ16">
        <f t="shared" ca="1" si="21"/>
        <v>0</v>
      </c>
      <c r="AK16">
        <f t="shared" ca="1" si="21"/>
        <v>0</v>
      </c>
      <c r="AL16">
        <f t="shared" ca="1" si="21"/>
        <v>0</v>
      </c>
      <c r="AM16">
        <f t="shared" ca="1" si="21"/>
        <v>37</v>
      </c>
      <c r="AO16">
        <f t="shared" ca="1" si="26"/>
        <v>0</v>
      </c>
      <c r="AP16">
        <f t="shared" ca="1" si="22"/>
        <v>0</v>
      </c>
      <c r="AQ16">
        <f t="shared" ca="1" si="22"/>
        <v>0</v>
      </c>
      <c r="AR16">
        <f t="shared" ca="1" si="22"/>
        <v>0</v>
      </c>
      <c r="AS16">
        <f t="shared" ca="1" si="22"/>
        <v>0</v>
      </c>
      <c r="AT16">
        <f t="shared" ca="1" si="22"/>
        <v>0</v>
      </c>
      <c r="AU16">
        <f t="shared" ca="1" si="22"/>
        <v>0</v>
      </c>
      <c r="AV16">
        <f t="shared" ca="1" si="22"/>
        <v>0</v>
      </c>
      <c r="AW16">
        <f t="shared" ca="1" si="22"/>
        <v>0</v>
      </c>
      <c r="AX16">
        <f t="shared" ca="1" si="22"/>
        <v>0</v>
      </c>
      <c r="AY16">
        <f t="shared" ca="1" si="22"/>
        <v>0</v>
      </c>
      <c r="AZ16">
        <f t="shared" ca="1" si="22"/>
        <v>0</v>
      </c>
      <c r="BA16">
        <f t="shared" ca="1" si="22"/>
        <v>0</v>
      </c>
    </row>
    <row r="17" spans="1:53" x14ac:dyDescent="0.25">
      <c r="A17" s="161" t="str">
        <f ca="1">CELL("nome.arquivo",Luís!$A$1:$K$1)</f>
        <v>U:\PLANILHAS DE OCUPAÇÃO DOCENTE\Planos de Trabalho\Planos de Trabalho 2025.1\[Simulador PTI Validado com POD AGRO Automático.xlsx]Luís</v>
      </c>
      <c r="B17" s="161">
        <f t="shared" ca="1" si="0"/>
        <v>131</v>
      </c>
      <c r="C17" s="161">
        <f t="shared" ca="1" si="1"/>
        <v>135</v>
      </c>
      <c r="D17" s="161" t="str">
        <f t="shared" ca="1" si="2"/>
        <v>Luís</v>
      </c>
      <c r="E17" s="162" t="s">
        <v>1408</v>
      </c>
      <c r="F17" s="161" t="str">
        <f t="shared" ca="1" si="3"/>
        <v>Luís!</v>
      </c>
      <c r="H17" s="163" t="str">
        <f t="shared" ca="1" si="4"/>
        <v>Efetivo</v>
      </c>
      <c r="I17" s="163" t="str">
        <f t="shared" ca="1" si="5"/>
        <v>Luís Sangoi</v>
      </c>
      <c r="J17" s="163" t="str">
        <f t="shared" ca="1" si="6"/>
        <v>Doutor(a)</v>
      </c>
      <c r="K17" s="163" t="str">
        <f t="shared" ca="1" si="7"/>
        <v>Dedicação Integral</v>
      </c>
      <c r="L17" s="166" t="str">
        <f t="shared" ca="1" si="8"/>
        <v>40 h</v>
      </c>
      <c r="M17" s="164">
        <f t="shared" ca="1" si="23"/>
        <v>7</v>
      </c>
      <c r="N17" s="164">
        <f t="shared" ca="1" si="10"/>
        <v>1</v>
      </c>
      <c r="O17" s="164">
        <f t="shared" ca="1" si="11"/>
        <v>8</v>
      </c>
      <c r="P17" s="164">
        <f t="shared" ca="1" si="12"/>
        <v>6</v>
      </c>
      <c r="Q17" s="164">
        <f t="shared" ca="1" si="13"/>
        <v>17</v>
      </c>
      <c r="R17" s="164">
        <f t="shared" ca="1" si="14"/>
        <v>0</v>
      </c>
      <c r="S17" s="164">
        <f t="shared" ca="1" si="15"/>
        <v>0</v>
      </c>
      <c r="T17" s="164">
        <f t="shared" ca="1" si="16"/>
        <v>0</v>
      </c>
      <c r="U17" s="164">
        <f t="shared" ca="1" si="17"/>
        <v>1</v>
      </c>
      <c r="V17" s="164">
        <f t="shared" ca="1" si="18"/>
        <v>0</v>
      </c>
      <c r="W17" s="164">
        <f t="shared" ca="1" si="19"/>
        <v>0</v>
      </c>
      <c r="X17" s="164">
        <f t="shared" ca="1" si="20"/>
        <v>0</v>
      </c>
      <c r="Y17" s="164">
        <f t="shared" ca="1" si="24"/>
        <v>40</v>
      </c>
      <c r="AA17">
        <f t="shared" ca="1" si="25"/>
        <v>7</v>
      </c>
      <c r="AB17">
        <f t="shared" ca="1" si="21"/>
        <v>1</v>
      </c>
      <c r="AC17">
        <f t="shared" ca="1" si="21"/>
        <v>8</v>
      </c>
      <c r="AD17">
        <f t="shared" ca="1" si="21"/>
        <v>6</v>
      </c>
      <c r="AE17">
        <f t="shared" ca="1" si="21"/>
        <v>17</v>
      </c>
      <c r="AF17">
        <f t="shared" ca="1" si="21"/>
        <v>0</v>
      </c>
      <c r="AG17">
        <f t="shared" ca="1" si="21"/>
        <v>0</v>
      </c>
      <c r="AH17">
        <f t="shared" ca="1" si="21"/>
        <v>0</v>
      </c>
      <c r="AI17">
        <f t="shared" ca="1" si="21"/>
        <v>1</v>
      </c>
      <c r="AJ17">
        <f t="shared" ca="1" si="21"/>
        <v>0</v>
      </c>
      <c r="AK17">
        <f t="shared" ca="1" si="21"/>
        <v>0</v>
      </c>
      <c r="AL17">
        <f t="shared" ca="1" si="21"/>
        <v>0</v>
      </c>
      <c r="AM17">
        <f t="shared" ca="1" si="21"/>
        <v>40</v>
      </c>
      <c r="AO17">
        <f t="shared" ca="1" si="26"/>
        <v>0</v>
      </c>
      <c r="AP17">
        <f t="shared" ca="1" si="22"/>
        <v>0</v>
      </c>
      <c r="AQ17">
        <f t="shared" ca="1" si="22"/>
        <v>0</v>
      </c>
      <c r="AR17">
        <f t="shared" ca="1" si="22"/>
        <v>0</v>
      </c>
      <c r="AS17">
        <f t="shared" ca="1" si="22"/>
        <v>0</v>
      </c>
      <c r="AT17">
        <f t="shared" ca="1" si="22"/>
        <v>0</v>
      </c>
      <c r="AU17">
        <f t="shared" ca="1" si="22"/>
        <v>0</v>
      </c>
      <c r="AV17">
        <f t="shared" ca="1" si="22"/>
        <v>0</v>
      </c>
      <c r="AW17">
        <f t="shared" ca="1" si="22"/>
        <v>0</v>
      </c>
      <c r="AX17">
        <f t="shared" ca="1" si="22"/>
        <v>0</v>
      </c>
      <c r="AY17">
        <f t="shared" ca="1" si="22"/>
        <v>0</v>
      </c>
      <c r="AZ17">
        <f t="shared" ca="1" si="22"/>
        <v>0</v>
      </c>
      <c r="BA17">
        <f t="shared" ca="1" si="22"/>
        <v>0</v>
      </c>
    </row>
    <row r="18" spans="1:53" x14ac:dyDescent="0.25">
      <c r="A18" s="161" t="str">
        <f ca="1">CELL("nome.arquivo",Mari!$A$1:$K$1)</f>
        <v>U:\PLANILHAS DE OCUPAÇÃO DOCENTE\Planos de Trabalho\Planos de Trabalho 2025.1\[Simulador PTI Validado com POD AGRO Automático.xlsx]Mari</v>
      </c>
      <c r="B18" s="161">
        <f t="shared" ca="1" si="0"/>
        <v>131</v>
      </c>
      <c r="C18" s="161">
        <f t="shared" ca="1" si="1"/>
        <v>135</v>
      </c>
      <c r="D18" s="161" t="str">
        <f t="shared" ca="1" si="2"/>
        <v>Mari</v>
      </c>
      <c r="E18" s="162" t="s">
        <v>1408</v>
      </c>
      <c r="F18" s="161" t="str">
        <f t="shared" ca="1" si="3"/>
        <v>Mari!</v>
      </c>
      <c r="H18" s="163" t="str">
        <f t="shared" ca="1" si="4"/>
        <v>Efetivo</v>
      </c>
      <c r="I18" s="163" t="str">
        <f t="shared" ca="1" si="5"/>
        <v>Mari Inês Carissimi Boff</v>
      </c>
      <c r="J18" s="163" t="str">
        <f t="shared" ca="1" si="6"/>
        <v>Doutor(a)</v>
      </c>
      <c r="K18" s="163" t="str">
        <f t="shared" ca="1" si="7"/>
        <v>Dedicação Integral</v>
      </c>
      <c r="L18" s="166" t="str">
        <f t="shared" ca="1" si="8"/>
        <v>40 h</v>
      </c>
      <c r="M18" s="164">
        <f t="shared" ca="1" si="23"/>
        <v>4</v>
      </c>
      <c r="N18" s="164">
        <f t="shared" ca="1" si="10"/>
        <v>8</v>
      </c>
      <c r="O18" s="164">
        <f t="shared" ca="1" si="11"/>
        <v>10</v>
      </c>
      <c r="P18" s="164">
        <f t="shared" ca="1" si="12"/>
        <v>3.5</v>
      </c>
      <c r="Q18" s="164">
        <f t="shared" ca="1" si="13"/>
        <v>10</v>
      </c>
      <c r="R18" s="164">
        <f t="shared" ca="1" si="14"/>
        <v>10</v>
      </c>
      <c r="S18" s="164">
        <f t="shared" ca="1" si="15"/>
        <v>0</v>
      </c>
      <c r="T18" s="164">
        <f t="shared" ca="1" si="16"/>
        <v>0</v>
      </c>
      <c r="U18" s="164">
        <f t="shared" ca="1" si="17"/>
        <v>9</v>
      </c>
      <c r="V18" s="164">
        <f t="shared" ca="1" si="18"/>
        <v>0</v>
      </c>
      <c r="W18" s="164">
        <f t="shared" ca="1" si="19"/>
        <v>0</v>
      </c>
      <c r="X18" s="164">
        <f t="shared" ca="1" si="20"/>
        <v>0</v>
      </c>
      <c r="Y18" s="164">
        <f t="shared" ca="1" si="24"/>
        <v>54.5</v>
      </c>
      <c r="AA18">
        <f t="shared" ca="1" si="25"/>
        <v>4</v>
      </c>
      <c r="AB18">
        <f t="shared" ref="AB18:AB32" ca="1" si="27">IF($H18="Efetivo",N18,0)</f>
        <v>8</v>
      </c>
      <c r="AC18">
        <f t="shared" ref="AC18:AC32" ca="1" si="28">IF($H18="Efetivo",O18,0)</f>
        <v>10</v>
      </c>
      <c r="AD18">
        <f t="shared" ref="AD18:AD32" ca="1" si="29">IF($H18="Efetivo",P18,0)</f>
        <v>3.5</v>
      </c>
      <c r="AE18">
        <f t="shared" ref="AE18:AE32" ca="1" si="30">IF($H18="Efetivo",Q18,0)</f>
        <v>10</v>
      </c>
      <c r="AF18">
        <f t="shared" ref="AF18:AF32" ca="1" si="31">IF($H18="Efetivo",R18,0)</f>
        <v>10</v>
      </c>
      <c r="AG18">
        <f t="shared" ref="AG18:AG32" ca="1" si="32">IF($H18="Efetivo",S18,0)</f>
        <v>0</v>
      </c>
      <c r="AH18">
        <f t="shared" ref="AH18:AH32" ca="1" si="33">IF($H18="Efetivo",T18,0)</f>
        <v>0</v>
      </c>
      <c r="AI18">
        <f t="shared" ref="AI18:AI32" ca="1" si="34">IF($H18="Efetivo",U18,0)</f>
        <v>9</v>
      </c>
      <c r="AJ18">
        <f t="shared" ref="AJ18:AJ32" ca="1" si="35">IF($H18="Efetivo",V18,0)</f>
        <v>0</v>
      </c>
      <c r="AK18">
        <f t="shared" ref="AK18:AK32" ca="1" si="36">IF($H18="Efetivo",W18,0)</f>
        <v>0</v>
      </c>
      <c r="AL18">
        <f t="shared" ref="AL18:AL32" ca="1" si="37">IF($H18="Efetivo",X18,0)</f>
        <v>0</v>
      </c>
      <c r="AM18">
        <f t="shared" ref="AM18:AM32" ca="1" si="38">IF($H18="Efetivo",Y18,0)</f>
        <v>54.5</v>
      </c>
      <c r="AO18">
        <f t="shared" ca="1" si="26"/>
        <v>0</v>
      </c>
      <c r="AP18">
        <f t="shared" ref="AP18:AP32" ca="1" si="39">IF($H18="Substituto",N18,0)</f>
        <v>0</v>
      </c>
      <c r="AQ18">
        <f t="shared" ref="AQ18:AQ32" ca="1" si="40">IF($H18="Substituto",O18,0)</f>
        <v>0</v>
      </c>
      <c r="AR18">
        <f t="shared" ref="AR18:AR32" ca="1" si="41">IF($H18="Substituto",P18,0)</f>
        <v>0</v>
      </c>
      <c r="AS18">
        <f t="shared" ref="AS18:AS32" ca="1" si="42">IF($H18="Substituto",Q18,0)</f>
        <v>0</v>
      </c>
      <c r="AT18">
        <f t="shared" ref="AT18:AT32" ca="1" si="43">IF($H18="Substituto",R18,0)</f>
        <v>0</v>
      </c>
      <c r="AU18">
        <f t="shared" ref="AU18:AU32" ca="1" si="44">IF($H18="Substituto",S18,0)</f>
        <v>0</v>
      </c>
      <c r="AV18">
        <f t="shared" ref="AV18:AV32" ca="1" si="45">IF($H18="Substituto",T18,0)</f>
        <v>0</v>
      </c>
      <c r="AW18">
        <f t="shared" ref="AW18:AW32" ca="1" si="46">IF($H18="Substituto",U18,0)</f>
        <v>0</v>
      </c>
      <c r="AX18">
        <f t="shared" ref="AX18:AX32" ca="1" si="47">IF($H18="Substituto",V18,0)</f>
        <v>0</v>
      </c>
      <c r="AY18">
        <f t="shared" ref="AY18:AY32" ca="1" si="48">IF($H18="Substituto",W18,0)</f>
        <v>0</v>
      </c>
      <c r="AZ18">
        <f t="shared" ref="AZ18:AZ32" ca="1" si="49">IF($H18="Substituto",X18,0)</f>
        <v>0</v>
      </c>
      <c r="BA18">
        <f t="shared" ref="BA18:BA32" ca="1" si="50">IF($H18="Substituto",Y18,0)</f>
        <v>0</v>
      </c>
    </row>
    <row r="19" spans="1:53" x14ac:dyDescent="0.25">
      <c r="A19" s="161" t="str">
        <f ca="1">CELL("nome.arquivo",Olivio!$A$1:$K$1)</f>
        <v>U:\PLANILHAS DE OCUPAÇÃO DOCENTE\Planos de Trabalho\Planos de Trabalho 2025.1\[Simulador PTI Validado com POD AGRO Automático.xlsx]Olivio</v>
      </c>
      <c r="B19" s="161">
        <f t="shared" ca="1" si="0"/>
        <v>131</v>
      </c>
      <c r="C19" s="161">
        <f t="shared" ca="1" si="1"/>
        <v>137</v>
      </c>
      <c r="D19" s="161" t="str">
        <f t="shared" ca="1" si="2"/>
        <v>Olivio</v>
      </c>
      <c r="E19" s="162" t="s">
        <v>1408</v>
      </c>
      <c r="F19" s="161" t="str">
        <f t="shared" ca="1" si="3"/>
        <v>Olivio!</v>
      </c>
      <c r="H19" s="163" t="str">
        <f t="shared" ca="1" si="4"/>
        <v>Efetivo</v>
      </c>
      <c r="I19" s="163" t="str">
        <f t="shared" ca="1" si="5"/>
        <v>Olívo José Soccol</v>
      </c>
      <c r="J19" s="163" t="str">
        <f t="shared" ca="1" si="6"/>
        <v>Doutor(a)</v>
      </c>
      <c r="K19" s="163" t="str">
        <f t="shared" ca="1" si="7"/>
        <v>Dedicação Integral</v>
      </c>
      <c r="L19" s="166" t="str">
        <f t="shared" ca="1" si="8"/>
        <v>40 h</v>
      </c>
      <c r="M19" s="164">
        <f t="shared" ca="1" si="23"/>
        <v>12</v>
      </c>
      <c r="N19" s="164">
        <f t="shared" ca="1" si="10"/>
        <v>0</v>
      </c>
      <c r="O19" s="164">
        <f t="shared" ca="1" si="11"/>
        <v>15</v>
      </c>
      <c r="P19" s="164">
        <f t="shared" ca="1" si="12"/>
        <v>0</v>
      </c>
      <c r="Q19" s="164">
        <f t="shared" ca="1" si="13"/>
        <v>6</v>
      </c>
      <c r="R19" s="164">
        <f t="shared" ca="1" si="14"/>
        <v>0</v>
      </c>
      <c r="S19" s="164">
        <f t="shared" ca="1" si="15"/>
        <v>0</v>
      </c>
      <c r="T19" s="164">
        <f t="shared" ca="1" si="16"/>
        <v>0</v>
      </c>
      <c r="U19" s="164">
        <f t="shared" ca="1" si="17"/>
        <v>8</v>
      </c>
      <c r="V19" s="164">
        <f t="shared" ca="1" si="18"/>
        <v>0</v>
      </c>
      <c r="W19" s="164">
        <f t="shared" ca="1" si="19"/>
        <v>0</v>
      </c>
      <c r="X19" s="164">
        <f t="shared" ca="1" si="20"/>
        <v>0</v>
      </c>
      <c r="Y19" s="164">
        <f t="shared" ca="1" si="24"/>
        <v>41</v>
      </c>
      <c r="AA19">
        <f t="shared" ca="1" si="25"/>
        <v>12</v>
      </c>
      <c r="AB19">
        <f t="shared" ca="1" si="27"/>
        <v>0</v>
      </c>
      <c r="AC19">
        <f t="shared" ca="1" si="28"/>
        <v>15</v>
      </c>
      <c r="AD19">
        <f t="shared" ca="1" si="29"/>
        <v>0</v>
      </c>
      <c r="AE19">
        <f t="shared" ca="1" si="30"/>
        <v>6</v>
      </c>
      <c r="AF19">
        <f t="shared" ca="1" si="31"/>
        <v>0</v>
      </c>
      <c r="AG19">
        <f t="shared" ca="1" si="32"/>
        <v>0</v>
      </c>
      <c r="AH19">
        <f t="shared" ca="1" si="33"/>
        <v>0</v>
      </c>
      <c r="AI19">
        <f t="shared" ca="1" si="34"/>
        <v>8</v>
      </c>
      <c r="AJ19">
        <f t="shared" ca="1" si="35"/>
        <v>0</v>
      </c>
      <c r="AK19">
        <f t="shared" ca="1" si="36"/>
        <v>0</v>
      </c>
      <c r="AL19">
        <f t="shared" ca="1" si="37"/>
        <v>0</v>
      </c>
      <c r="AM19">
        <f t="shared" ca="1" si="38"/>
        <v>41</v>
      </c>
      <c r="AO19">
        <f t="shared" ca="1" si="26"/>
        <v>0</v>
      </c>
      <c r="AP19">
        <f t="shared" ca="1" si="39"/>
        <v>0</v>
      </c>
      <c r="AQ19">
        <f t="shared" ca="1" si="40"/>
        <v>0</v>
      </c>
      <c r="AR19">
        <f t="shared" ca="1" si="41"/>
        <v>0</v>
      </c>
      <c r="AS19">
        <f t="shared" ca="1" si="42"/>
        <v>0</v>
      </c>
      <c r="AT19">
        <f t="shared" ca="1" si="43"/>
        <v>0</v>
      </c>
      <c r="AU19">
        <f t="shared" ca="1" si="44"/>
        <v>0</v>
      </c>
      <c r="AV19">
        <f t="shared" ca="1" si="45"/>
        <v>0</v>
      </c>
      <c r="AW19">
        <f t="shared" ca="1" si="46"/>
        <v>0</v>
      </c>
      <c r="AX19">
        <f t="shared" ca="1" si="47"/>
        <v>0</v>
      </c>
      <c r="AY19">
        <f t="shared" ca="1" si="48"/>
        <v>0</v>
      </c>
      <c r="AZ19">
        <f t="shared" ca="1" si="49"/>
        <v>0</v>
      </c>
      <c r="BA19">
        <f t="shared" ca="1" si="50"/>
        <v>0</v>
      </c>
    </row>
    <row r="20" spans="1:53" x14ac:dyDescent="0.25">
      <c r="A20" s="161" t="str">
        <f ca="1">CELL("nome.arquivo",Ricardo!$A$1:$K$1)</f>
        <v>U:\PLANILHAS DE OCUPAÇÃO DOCENTE\Planos de Trabalho\Planos de Trabalho 2025.1\[Simulador PTI Validado com POD AGRO Automático.xlsx]Ricardo</v>
      </c>
      <c r="B20" s="161">
        <f t="shared" ca="1" si="0"/>
        <v>131</v>
      </c>
      <c r="C20" s="161">
        <f t="shared" ca="1" si="1"/>
        <v>138</v>
      </c>
      <c r="D20" s="161" t="str">
        <f t="shared" ca="1" si="2"/>
        <v>Ricardo</v>
      </c>
      <c r="E20" s="162" t="s">
        <v>1408</v>
      </c>
      <c r="F20" s="161" t="str">
        <f t="shared" ca="1" si="3"/>
        <v>Ricardo!</v>
      </c>
      <c r="H20" s="163" t="str">
        <f t="shared" ca="1" si="4"/>
        <v>Efetivo</v>
      </c>
      <c r="I20" s="163" t="str">
        <f t="shared" ca="1" si="5"/>
        <v>Ricardo Trezzi Casa</v>
      </c>
      <c r="J20" s="163" t="str">
        <f t="shared" ca="1" si="6"/>
        <v>Doutor(a)</v>
      </c>
      <c r="K20" s="163" t="str">
        <f t="shared" ca="1" si="7"/>
        <v>Dedicação Integral</v>
      </c>
      <c r="L20" s="166" t="str">
        <f t="shared" ca="1" si="8"/>
        <v>40 h</v>
      </c>
      <c r="M20" s="164">
        <f t="shared" ca="1" si="23"/>
        <v>5</v>
      </c>
      <c r="N20" s="164">
        <f t="shared" ca="1" si="10"/>
        <v>4</v>
      </c>
      <c r="O20" s="164">
        <f t="shared" ca="1" si="11"/>
        <v>9</v>
      </c>
      <c r="P20" s="164">
        <f t="shared" ca="1" si="12"/>
        <v>15</v>
      </c>
      <c r="Q20" s="164">
        <f t="shared" ca="1" si="13"/>
        <v>18</v>
      </c>
      <c r="R20" s="164">
        <f t="shared" ca="1" si="14"/>
        <v>0</v>
      </c>
      <c r="S20" s="164">
        <f t="shared" ca="1" si="15"/>
        <v>0</v>
      </c>
      <c r="T20" s="164">
        <f t="shared" ca="1" si="16"/>
        <v>0</v>
      </c>
      <c r="U20" s="164">
        <f t="shared" ca="1" si="17"/>
        <v>8</v>
      </c>
      <c r="V20" s="164">
        <f t="shared" ca="1" si="18"/>
        <v>0</v>
      </c>
      <c r="W20" s="164">
        <f t="shared" ca="1" si="19"/>
        <v>0</v>
      </c>
      <c r="X20" s="164">
        <f t="shared" ca="1" si="20"/>
        <v>0</v>
      </c>
      <c r="Y20" s="164">
        <f t="shared" ca="1" si="24"/>
        <v>59</v>
      </c>
      <c r="AA20">
        <f t="shared" ca="1" si="25"/>
        <v>5</v>
      </c>
      <c r="AB20">
        <f t="shared" ca="1" si="27"/>
        <v>4</v>
      </c>
      <c r="AC20">
        <f t="shared" ca="1" si="28"/>
        <v>9</v>
      </c>
      <c r="AD20">
        <f t="shared" ca="1" si="29"/>
        <v>15</v>
      </c>
      <c r="AE20">
        <f t="shared" ca="1" si="30"/>
        <v>18</v>
      </c>
      <c r="AF20">
        <f t="shared" ca="1" si="31"/>
        <v>0</v>
      </c>
      <c r="AG20">
        <f t="shared" ca="1" si="32"/>
        <v>0</v>
      </c>
      <c r="AH20">
        <f t="shared" ca="1" si="33"/>
        <v>0</v>
      </c>
      <c r="AI20">
        <f t="shared" ca="1" si="34"/>
        <v>8</v>
      </c>
      <c r="AJ20">
        <f t="shared" ca="1" si="35"/>
        <v>0</v>
      </c>
      <c r="AK20">
        <f t="shared" ca="1" si="36"/>
        <v>0</v>
      </c>
      <c r="AL20">
        <f t="shared" ca="1" si="37"/>
        <v>0</v>
      </c>
      <c r="AM20">
        <f t="shared" ca="1" si="38"/>
        <v>59</v>
      </c>
      <c r="AO20">
        <f t="shared" ca="1" si="26"/>
        <v>0</v>
      </c>
      <c r="AP20">
        <f t="shared" ca="1" si="39"/>
        <v>0</v>
      </c>
      <c r="AQ20">
        <f t="shared" ca="1" si="40"/>
        <v>0</v>
      </c>
      <c r="AR20">
        <f t="shared" ca="1" si="41"/>
        <v>0</v>
      </c>
      <c r="AS20">
        <f t="shared" ca="1" si="42"/>
        <v>0</v>
      </c>
      <c r="AT20">
        <f t="shared" ca="1" si="43"/>
        <v>0</v>
      </c>
      <c r="AU20">
        <f t="shared" ca="1" si="44"/>
        <v>0</v>
      </c>
      <c r="AV20">
        <f t="shared" ca="1" si="45"/>
        <v>0</v>
      </c>
      <c r="AW20">
        <f t="shared" ca="1" si="46"/>
        <v>0</v>
      </c>
      <c r="AX20">
        <f t="shared" ca="1" si="47"/>
        <v>0</v>
      </c>
      <c r="AY20">
        <f t="shared" ca="1" si="48"/>
        <v>0</v>
      </c>
      <c r="AZ20">
        <f t="shared" ca="1" si="49"/>
        <v>0</v>
      </c>
      <c r="BA20">
        <f t="shared" ca="1" si="50"/>
        <v>0</v>
      </c>
    </row>
    <row r="21" spans="1:53" x14ac:dyDescent="0.25">
      <c r="A21" s="161" t="str">
        <f ca="1">CELL("nome.arquivo",Daniele!$A$1:$K$1)</f>
        <v>U:\PLANILHAS DE OCUPAÇÃO DOCENTE\Planos de Trabalho\Planos de Trabalho 2025.1\[Simulador PTI Validado com POD AGRO Automático.xlsx]Daniele</v>
      </c>
      <c r="B21" s="161">
        <f t="shared" ca="1" si="0"/>
        <v>131</v>
      </c>
      <c r="C21" s="161">
        <f t="shared" ca="1" si="1"/>
        <v>138</v>
      </c>
      <c r="D21" s="161" t="str">
        <f t="shared" ca="1" si="2"/>
        <v>Daniele</v>
      </c>
      <c r="E21" s="162" t="s">
        <v>1408</v>
      </c>
      <c r="F21" s="161" t="str">
        <f t="shared" ca="1" si="3"/>
        <v>Daniele!</v>
      </c>
      <c r="H21" s="163" t="str">
        <f t="shared" ca="1" si="4"/>
        <v>Substituto</v>
      </c>
      <c r="I21" s="163" t="str">
        <f t="shared" ca="1" si="5"/>
        <v>Daniele Nerling</v>
      </c>
      <c r="J21" s="163" t="str">
        <f t="shared" ca="1" si="6"/>
        <v>Doutor(a)</v>
      </c>
      <c r="K21" s="163" t="str">
        <f t="shared" ca="1" si="7"/>
        <v>Horista</v>
      </c>
      <c r="L21" s="166" t="str">
        <f t="shared" ca="1" si="8"/>
        <v>02 h/ativ.</v>
      </c>
      <c r="M21" s="164">
        <f t="shared" ca="1" si="23"/>
        <v>2</v>
      </c>
      <c r="N21" s="164">
        <f t="shared" ca="1" si="10"/>
        <v>0</v>
      </c>
      <c r="O21" s="164">
        <f t="shared" ca="1" si="11"/>
        <v>0</v>
      </c>
      <c r="P21" s="164">
        <f t="shared" ca="1" si="12"/>
        <v>0</v>
      </c>
      <c r="Q21" s="164">
        <f t="shared" ca="1" si="13"/>
        <v>0</v>
      </c>
      <c r="R21" s="164">
        <f t="shared" ca="1" si="14"/>
        <v>0</v>
      </c>
      <c r="S21" s="164">
        <f t="shared" ca="1" si="15"/>
        <v>0</v>
      </c>
      <c r="T21" s="164">
        <f t="shared" ca="1" si="16"/>
        <v>0</v>
      </c>
      <c r="U21" s="164">
        <f t="shared" ca="1" si="17"/>
        <v>0</v>
      </c>
      <c r="V21" s="164">
        <f t="shared" ca="1" si="18"/>
        <v>0</v>
      </c>
      <c r="W21" s="164">
        <f t="shared" ca="1" si="19"/>
        <v>0</v>
      </c>
      <c r="X21" s="164">
        <f t="shared" ca="1" si="20"/>
        <v>0</v>
      </c>
      <c r="Y21" s="164">
        <f t="shared" ca="1" si="24"/>
        <v>2</v>
      </c>
      <c r="AA21">
        <f t="shared" ca="1" si="25"/>
        <v>0</v>
      </c>
      <c r="AB21">
        <f t="shared" ca="1" si="27"/>
        <v>0</v>
      </c>
      <c r="AC21">
        <f t="shared" ca="1" si="28"/>
        <v>0</v>
      </c>
      <c r="AD21">
        <f t="shared" ca="1" si="29"/>
        <v>0</v>
      </c>
      <c r="AE21">
        <f t="shared" ca="1" si="30"/>
        <v>0</v>
      </c>
      <c r="AF21">
        <f t="shared" ca="1" si="31"/>
        <v>0</v>
      </c>
      <c r="AG21">
        <f t="shared" ca="1" si="32"/>
        <v>0</v>
      </c>
      <c r="AH21">
        <f t="shared" ca="1" si="33"/>
        <v>0</v>
      </c>
      <c r="AI21">
        <f t="shared" ca="1" si="34"/>
        <v>0</v>
      </c>
      <c r="AJ21">
        <f t="shared" ca="1" si="35"/>
        <v>0</v>
      </c>
      <c r="AK21">
        <f t="shared" ca="1" si="36"/>
        <v>0</v>
      </c>
      <c r="AL21">
        <f t="shared" ca="1" si="37"/>
        <v>0</v>
      </c>
      <c r="AM21">
        <f t="shared" ca="1" si="38"/>
        <v>0</v>
      </c>
      <c r="AO21">
        <f t="shared" ca="1" si="26"/>
        <v>2</v>
      </c>
      <c r="AP21">
        <f t="shared" ca="1" si="39"/>
        <v>0</v>
      </c>
      <c r="AQ21">
        <f t="shared" ca="1" si="40"/>
        <v>0</v>
      </c>
      <c r="AR21">
        <f t="shared" ca="1" si="41"/>
        <v>0</v>
      </c>
      <c r="AS21">
        <f t="shared" ca="1" si="42"/>
        <v>0</v>
      </c>
      <c r="AT21">
        <f t="shared" ca="1" si="43"/>
        <v>0</v>
      </c>
      <c r="AU21">
        <f t="shared" ca="1" si="44"/>
        <v>0</v>
      </c>
      <c r="AV21">
        <f t="shared" ca="1" si="45"/>
        <v>0</v>
      </c>
      <c r="AW21">
        <f t="shared" ca="1" si="46"/>
        <v>0</v>
      </c>
      <c r="AX21">
        <f t="shared" ca="1" si="47"/>
        <v>0</v>
      </c>
      <c r="AY21">
        <f t="shared" ca="1" si="48"/>
        <v>0</v>
      </c>
      <c r="AZ21">
        <f t="shared" ca="1" si="49"/>
        <v>0</v>
      </c>
      <c r="BA21">
        <f t="shared" ca="1" si="50"/>
        <v>2</v>
      </c>
    </row>
    <row r="22" spans="1:53" x14ac:dyDescent="0.25">
      <c r="A22" s="161" t="str">
        <f ca="1">CELL("nome.arquivo",Francine!$A$1:$K$1)</f>
        <v>U:\PLANILHAS DE OCUPAÇÃO DOCENTE\Planos de Trabalho\Planos de Trabalho 2025.1\[Simulador PTI Validado com POD AGRO Automático.xlsx]Francine</v>
      </c>
      <c r="B22" s="161">
        <f t="shared" ca="1" si="0"/>
        <v>131</v>
      </c>
      <c r="C22" s="161">
        <f t="shared" ca="1" si="1"/>
        <v>139</v>
      </c>
      <c r="D22" s="161" t="str">
        <f t="shared" ca="1" si="2"/>
        <v>Francine</v>
      </c>
      <c r="E22" s="162" t="s">
        <v>1408</v>
      </c>
      <c r="F22" s="161" t="str">
        <f t="shared" ca="1" si="3"/>
        <v>Francine!</v>
      </c>
      <c r="H22" s="163" t="str">
        <f t="shared" ca="1" si="4"/>
        <v>Substituto</v>
      </c>
      <c r="I22" s="163" t="str">
        <f t="shared" ca="1" si="5"/>
        <v>Francine Regianini Nerbass</v>
      </c>
      <c r="J22" s="163" t="str">
        <f t="shared" ca="1" si="6"/>
        <v>Doutor(a)</v>
      </c>
      <c r="K22" s="163" t="str">
        <f t="shared" ca="1" si="7"/>
        <v>Horista</v>
      </c>
      <c r="L22" s="166" t="str">
        <f t="shared" ca="1" si="8"/>
        <v>02 h/ativ.</v>
      </c>
      <c r="M22" s="164">
        <f t="shared" ca="1" si="23"/>
        <v>2</v>
      </c>
      <c r="N22" s="164">
        <f t="shared" ca="1" si="10"/>
        <v>0</v>
      </c>
      <c r="O22" s="164">
        <f t="shared" ca="1" si="11"/>
        <v>0</v>
      </c>
      <c r="P22" s="164">
        <f t="shared" ca="1" si="12"/>
        <v>0</v>
      </c>
      <c r="Q22" s="164">
        <f t="shared" ca="1" si="13"/>
        <v>0</v>
      </c>
      <c r="R22" s="164">
        <f t="shared" ca="1" si="14"/>
        <v>0</v>
      </c>
      <c r="S22" s="164">
        <f t="shared" ca="1" si="15"/>
        <v>0</v>
      </c>
      <c r="T22" s="164">
        <f t="shared" ca="1" si="16"/>
        <v>0</v>
      </c>
      <c r="U22" s="164">
        <f t="shared" ca="1" si="17"/>
        <v>0</v>
      </c>
      <c r="V22" s="164">
        <f t="shared" ca="1" si="18"/>
        <v>0</v>
      </c>
      <c r="W22" s="164">
        <f t="shared" ca="1" si="19"/>
        <v>0</v>
      </c>
      <c r="X22" s="164">
        <f t="shared" ca="1" si="20"/>
        <v>0</v>
      </c>
      <c r="Y22" s="164">
        <f t="shared" ca="1" si="24"/>
        <v>2</v>
      </c>
      <c r="AA22">
        <f t="shared" ca="1" si="25"/>
        <v>0</v>
      </c>
      <c r="AB22">
        <f t="shared" ca="1" si="27"/>
        <v>0</v>
      </c>
      <c r="AC22">
        <f t="shared" ca="1" si="28"/>
        <v>0</v>
      </c>
      <c r="AD22">
        <f t="shared" ca="1" si="29"/>
        <v>0</v>
      </c>
      <c r="AE22">
        <f t="shared" ca="1" si="30"/>
        <v>0</v>
      </c>
      <c r="AF22">
        <f t="shared" ca="1" si="31"/>
        <v>0</v>
      </c>
      <c r="AG22">
        <f t="shared" ca="1" si="32"/>
        <v>0</v>
      </c>
      <c r="AH22">
        <f t="shared" ca="1" si="33"/>
        <v>0</v>
      </c>
      <c r="AI22">
        <f t="shared" ca="1" si="34"/>
        <v>0</v>
      </c>
      <c r="AJ22">
        <f t="shared" ca="1" si="35"/>
        <v>0</v>
      </c>
      <c r="AK22">
        <f t="shared" ca="1" si="36"/>
        <v>0</v>
      </c>
      <c r="AL22">
        <f t="shared" ca="1" si="37"/>
        <v>0</v>
      </c>
      <c r="AM22">
        <f t="shared" ca="1" si="38"/>
        <v>0</v>
      </c>
      <c r="AO22">
        <f t="shared" ca="1" si="26"/>
        <v>2</v>
      </c>
      <c r="AP22">
        <f t="shared" ca="1" si="39"/>
        <v>0</v>
      </c>
      <c r="AQ22">
        <f t="shared" ca="1" si="40"/>
        <v>0</v>
      </c>
      <c r="AR22">
        <f t="shared" ca="1" si="41"/>
        <v>0</v>
      </c>
      <c r="AS22">
        <f t="shared" ca="1" si="42"/>
        <v>0</v>
      </c>
      <c r="AT22">
        <f t="shared" ca="1" si="43"/>
        <v>0</v>
      </c>
      <c r="AU22">
        <f t="shared" ca="1" si="44"/>
        <v>0</v>
      </c>
      <c r="AV22">
        <f t="shared" ca="1" si="45"/>
        <v>0</v>
      </c>
      <c r="AW22">
        <f t="shared" ca="1" si="46"/>
        <v>0</v>
      </c>
      <c r="AX22">
        <f t="shared" ca="1" si="47"/>
        <v>0</v>
      </c>
      <c r="AY22">
        <f t="shared" ca="1" si="48"/>
        <v>0</v>
      </c>
      <c r="AZ22">
        <f t="shared" ca="1" si="49"/>
        <v>0</v>
      </c>
      <c r="BA22">
        <f t="shared" ca="1" si="50"/>
        <v>2</v>
      </c>
    </row>
    <row r="23" spans="1:53" x14ac:dyDescent="0.25">
      <c r="A23" s="161" t="str">
        <f ca="1">CELL("nome.arquivo",Leonardo!$A$1:$K$1)</f>
        <v>U:\PLANILHAS DE OCUPAÇÃO DOCENTE\Planos de Trabalho\Planos de Trabalho 2025.1\[Simulador PTI Validado com POD AGRO Automático.xlsx]Leonardo</v>
      </c>
      <c r="B23" s="161">
        <f t="shared" ca="1" si="0"/>
        <v>131</v>
      </c>
      <c r="C23" s="161">
        <f t="shared" ca="1" si="1"/>
        <v>139</v>
      </c>
      <c r="D23" s="161" t="str">
        <f t="shared" ca="1" si="2"/>
        <v>Leonardo</v>
      </c>
      <c r="E23" s="162" t="s">
        <v>1408</v>
      </c>
      <c r="F23" s="161" t="str">
        <f t="shared" ca="1" si="3"/>
        <v>Leonardo!</v>
      </c>
      <c r="H23" s="163" t="str">
        <f t="shared" ca="1" si="4"/>
        <v>Substituto</v>
      </c>
      <c r="I23" s="163" t="str">
        <f t="shared" ca="1" si="5"/>
        <v>Leonardo Mortari Machado</v>
      </c>
      <c r="J23" s="163" t="str">
        <f t="shared" ca="1" si="6"/>
        <v>Doutor(a)</v>
      </c>
      <c r="K23" s="163" t="str">
        <f t="shared" ca="1" si="7"/>
        <v>Horista</v>
      </c>
      <c r="L23" s="166" t="str">
        <f t="shared" ca="1" si="8"/>
        <v>08h/Ativ</v>
      </c>
      <c r="M23" s="164">
        <f t="shared" ca="1" si="23"/>
        <v>10</v>
      </c>
      <c r="N23" s="164">
        <f t="shared" ca="1" si="10"/>
        <v>0</v>
      </c>
      <c r="O23" s="164">
        <f t="shared" ca="1" si="11"/>
        <v>0</v>
      </c>
      <c r="P23" s="164">
        <f t="shared" ca="1" si="12"/>
        <v>0</v>
      </c>
      <c r="Q23" s="164">
        <f t="shared" ca="1" si="13"/>
        <v>0</v>
      </c>
      <c r="R23" s="164">
        <f t="shared" ca="1" si="14"/>
        <v>0</v>
      </c>
      <c r="S23" s="164">
        <f t="shared" ca="1" si="15"/>
        <v>0</v>
      </c>
      <c r="T23" s="164">
        <f t="shared" ca="1" si="16"/>
        <v>0</v>
      </c>
      <c r="U23" s="164">
        <f t="shared" ca="1" si="17"/>
        <v>0</v>
      </c>
      <c r="V23" s="164">
        <f t="shared" ca="1" si="18"/>
        <v>0</v>
      </c>
      <c r="W23" s="164">
        <f t="shared" ca="1" si="19"/>
        <v>0</v>
      </c>
      <c r="X23" s="164">
        <f t="shared" ca="1" si="20"/>
        <v>0</v>
      </c>
      <c r="Y23" s="164">
        <f t="shared" ca="1" si="24"/>
        <v>10</v>
      </c>
      <c r="AA23">
        <f t="shared" ca="1" si="25"/>
        <v>0</v>
      </c>
      <c r="AB23">
        <f t="shared" ca="1" si="27"/>
        <v>0</v>
      </c>
      <c r="AC23">
        <f t="shared" ca="1" si="28"/>
        <v>0</v>
      </c>
      <c r="AD23">
        <f t="shared" ca="1" si="29"/>
        <v>0</v>
      </c>
      <c r="AE23">
        <f t="shared" ca="1" si="30"/>
        <v>0</v>
      </c>
      <c r="AF23">
        <f t="shared" ca="1" si="31"/>
        <v>0</v>
      </c>
      <c r="AG23">
        <f t="shared" ca="1" si="32"/>
        <v>0</v>
      </c>
      <c r="AH23">
        <f t="shared" ca="1" si="33"/>
        <v>0</v>
      </c>
      <c r="AI23">
        <f t="shared" ca="1" si="34"/>
        <v>0</v>
      </c>
      <c r="AJ23">
        <f t="shared" ca="1" si="35"/>
        <v>0</v>
      </c>
      <c r="AK23">
        <f t="shared" ca="1" si="36"/>
        <v>0</v>
      </c>
      <c r="AL23">
        <f t="shared" ca="1" si="37"/>
        <v>0</v>
      </c>
      <c r="AM23">
        <f t="shared" ca="1" si="38"/>
        <v>0</v>
      </c>
      <c r="AO23">
        <f t="shared" ca="1" si="26"/>
        <v>10</v>
      </c>
      <c r="AP23">
        <f t="shared" ca="1" si="39"/>
        <v>0</v>
      </c>
      <c r="AQ23">
        <f t="shared" ca="1" si="40"/>
        <v>0</v>
      </c>
      <c r="AR23">
        <f t="shared" ca="1" si="41"/>
        <v>0</v>
      </c>
      <c r="AS23">
        <f t="shared" ca="1" si="42"/>
        <v>0</v>
      </c>
      <c r="AT23">
        <f t="shared" ca="1" si="43"/>
        <v>0</v>
      </c>
      <c r="AU23">
        <f t="shared" ca="1" si="44"/>
        <v>0</v>
      </c>
      <c r="AV23">
        <f t="shared" ca="1" si="45"/>
        <v>0</v>
      </c>
      <c r="AW23">
        <f t="shared" ca="1" si="46"/>
        <v>0</v>
      </c>
      <c r="AX23">
        <f t="shared" ca="1" si="47"/>
        <v>0</v>
      </c>
      <c r="AY23">
        <f t="shared" ca="1" si="48"/>
        <v>0</v>
      </c>
      <c r="AZ23">
        <f t="shared" ca="1" si="49"/>
        <v>0</v>
      </c>
      <c r="BA23">
        <f t="shared" ca="1" si="50"/>
        <v>10</v>
      </c>
    </row>
    <row r="24" spans="1:53" x14ac:dyDescent="0.25">
      <c r="A24" s="161" t="str">
        <f ca="1">CELL("nome.arquivo",Rita!$A$1:$K$1)</f>
        <v>U:\PLANILHAS DE OCUPAÇÃO DOCENTE\Planos de Trabalho\Planos de Trabalho 2025.1\[Simulador PTI Validado com POD AGRO Automático.xlsx]Rita</v>
      </c>
      <c r="B24" s="161">
        <f t="shared" ca="1" si="0"/>
        <v>131</v>
      </c>
      <c r="C24" s="161">
        <f t="shared" ca="1" si="1"/>
        <v>135</v>
      </c>
      <c r="D24" s="161" t="str">
        <f t="shared" ca="1" si="2"/>
        <v>Rita</v>
      </c>
      <c r="E24" s="162" t="s">
        <v>1408</v>
      </c>
      <c r="F24" s="161" t="str">
        <f t="shared" ca="1" si="3"/>
        <v>Rita!</v>
      </c>
      <c r="H24" s="163" t="str">
        <f ca="1">IFERROR(INDIRECT(D24&amp;"!A148"),"")</f>
        <v>Substituto</v>
      </c>
      <c r="I24" s="163" t="str">
        <f ca="1">IFERROR(INDIRECT(D24&amp;"!b148"),"")</f>
        <v>Rita Carolina De Melo</v>
      </c>
      <c r="J24" s="163" t="str">
        <f ca="1">IFERROR(INDIRECT(D24&amp;"!c148"),"")</f>
        <v>Doutor(a)</v>
      </c>
      <c r="K24" s="163" t="str">
        <f ca="1">IFERROR(INDIRECT(D24&amp;"!d148"),"")</f>
        <v>Horista</v>
      </c>
      <c r="L24" s="166" t="str">
        <f ca="1">IFERROR(INDIRECT(D24&amp;"!e148"),"")</f>
        <v>10h/Ativ</v>
      </c>
      <c r="M24" s="164">
        <f t="shared" ca="1" si="23"/>
        <v>10</v>
      </c>
      <c r="N24" s="164">
        <f t="shared" ca="1" si="10"/>
        <v>0</v>
      </c>
      <c r="O24" s="164">
        <f t="shared" ca="1" si="11"/>
        <v>0</v>
      </c>
      <c r="P24" s="164">
        <f t="shared" ca="1" si="12"/>
        <v>0</v>
      </c>
      <c r="Q24" s="164">
        <f t="shared" ca="1" si="13"/>
        <v>0</v>
      </c>
      <c r="R24" s="164">
        <f t="shared" ca="1" si="14"/>
        <v>0</v>
      </c>
      <c r="S24" s="164">
        <f t="shared" ca="1" si="15"/>
        <v>0</v>
      </c>
      <c r="T24" s="164">
        <f t="shared" ca="1" si="16"/>
        <v>0</v>
      </c>
      <c r="U24" s="164">
        <f t="shared" ca="1" si="17"/>
        <v>0</v>
      </c>
      <c r="V24" s="164">
        <f t="shared" ca="1" si="18"/>
        <v>0</v>
      </c>
      <c r="W24" s="164">
        <f t="shared" ca="1" si="19"/>
        <v>0</v>
      </c>
      <c r="X24" s="164">
        <f t="shared" ca="1" si="20"/>
        <v>0</v>
      </c>
      <c r="Y24" s="164">
        <f t="shared" ca="1" si="24"/>
        <v>10</v>
      </c>
      <c r="AA24">
        <f t="shared" ca="1" si="25"/>
        <v>0</v>
      </c>
      <c r="AB24">
        <f t="shared" ca="1" si="27"/>
        <v>0</v>
      </c>
      <c r="AC24">
        <f t="shared" ca="1" si="28"/>
        <v>0</v>
      </c>
      <c r="AD24">
        <f t="shared" ca="1" si="29"/>
        <v>0</v>
      </c>
      <c r="AE24">
        <f t="shared" ca="1" si="30"/>
        <v>0</v>
      </c>
      <c r="AF24">
        <f t="shared" ca="1" si="31"/>
        <v>0</v>
      </c>
      <c r="AG24">
        <f t="shared" ca="1" si="32"/>
        <v>0</v>
      </c>
      <c r="AH24">
        <f t="shared" ca="1" si="33"/>
        <v>0</v>
      </c>
      <c r="AI24">
        <f t="shared" ca="1" si="34"/>
        <v>0</v>
      </c>
      <c r="AJ24">
        <f t="shared" ca="1" si="35"/>
        <v>0</v>
      </c>
      <c r="AK24">
        <f t="shared" ca="1" si="36"/>
        <v>0</v>
      </c>
      <c r="AL24">
        <f t="shared" ca="1" si="37"/>
        <v>0</v>
      </c>
      <c r="AM24">
        <f t="shared" ca="1" si="38"/>
        <v>0</v>
      </c>
      <c r="AO24">
        <f t="shared" ca="1" si="26"/>
        <v>10</v>
      </c>
      <c r="AP24">
        <f t="shared" ca="1" si="39"/>
        <v>0</v>
      </c>
      <c r="AQ24">
        <f t="shared" ca="1" si="40"/>
        <v>0</v>
      </c>
      <c r="AR24">
        <f t="shared" ca="1" si="41"/>
        <v>0</v>
      </c>
      <c r="AS24">
        <f t="shared" ca="1" si="42"/>
        <v>0</v>
      </c>
      <c r="AT24">
        <f t="shared" ca="1" si="43"/>
        <v>0</v>
      </c>
      <c r="AU24">
        <f t="shared" ca="1" si="44"/>
        <v>0</v>
      </c>
      <c r="AV24">
        <f t="shared" ca="1" si="45"/>
        <v>0</v>
      </c>
      <c r="AW24">
        <f t="shared" ca="1" si="46"/>
        <v>0</v>
      </c>
      <c r="AX24">
        <f t="shared" ca="1" si="47"/>
        <v>0</v>
      </c>
      <c r="AY24">
        <f t="shared" ca="1" si="48"/>
        <v>0</v>
      </c>
      <c r="AZ24">
        <f t="shared" ca="1" si="49"/>
        <v>0</v>
      </c>
      <c r="BA24">
        <f t="shared" ca="1" si="50"/>
        <v>10</v>
      </c>
    </row>
    <row r="25" spans="1:53" x14ac:dyDescent="0.25">
      <c r="A25" s="161" t="str">
        <f ca="1">CELL("nome.arquivo",'Ef2'!$A$1:$K$1)</f>
        <v>U:\PLANILHAS DE OCUPAÇÃO DOCENTE\Planos de Trabalho\Planos de Trabalho 2025.1\[Simulador PTI Validado com POD AGRO Automático.xlsx]Ef2</v>
      </c>
      <c r="B25" s="161">
        <f t="shared" ca="1" si="0"/>
        <v>131</v>
      </c>
      <c r="C25" s="161">
        <f t="shared" ca="1" si="1"/>
        <v>134</v>
      </c>
      <c r="D25" s="161" t="str">
        <f t="shared" ca="1" si="2"/>
        <v>Ef2</v>
      </c>
      <c r="E25" s="162" t="s">
        <v>1408</v>
      </c>
      <c r="F25" s="161" t="str">
        <f t="shared" ca="1" si="3"/>
        <v>Ef2!</v>
      </c>
      <c r="H25" s="163" t="str">
        <f t="shared" ref="H25:H30" ca="1" si="51">IFERROR(INDIRECT(D25&amp;"!A148"),"")</f>
        <v/>
      </c>
      <c r="I25" s="163">
        <f t="shared" ref="I25:I30" ca="1" si="52">IFERROR(INDIRECT(D25&amp;"!b148"),"")</f>
        <v>0</v>
      </c>
      <c r="J25" s="163" t="str">
        <f t="shared" ref="J25:J30" ca="1" si="53">IFERROR(INDIRECT(D25&amp;"!c148"),"")</f>
        <v/>
      </c>
      <c r="K25" s="163" t="str">
        <f t="shared" ref="K25:K30" ca="1" si="54">IFERROR(INDIRECT(D25&amp;"!d148"),"")</f>
        <v/>
      </c>
      <c r="L25" s="166" t="str">
        <f t="shared" ref="L25:L30" ca="1" si="55">IFERROR(INDIRECT(D25&amp;"!e148"),"")</f>
        <v/>
      </c>
      <c r="M25" s="164">
        <f t="shared" ref="M25:M30" ca="1" si="56">IFERROR(INDIRECT(D25&amp;"!f148"),"")</f>
        <v>0</v>
      </c>
      <c r="N25" s="164">
        <f t="shared" ref="N25:N30" ca="1" si="57">IFERROR(INDIRECT(D25&amp;"!g148"),"")</f>
        <v>0</v>
      </c>
      <c r="O25" s="164">
        <f t="shared" ref="O25:O30" ca="1" si="58">IFERROR(INDIRECT(D25&amp;"!h148"),"")</f>
        <v>0</v>
      </c>
      <c r="P25" s="164">
        <f t="shared" ref="P25:P30" ca="1" si="59">IFERROR(INDIRECT(D25&amp;"!i148"),"")</f>
        <v>0</v>
      </c>
      <c r="Q25" s="164">
        <f t="shared" ref="Q25:Q30" ca="1" si="60">IFERROR(INDIRECT(D25&amp;"!j148"),"")</f>
        <v>0</v>
      </c>
      <c r="R25" s="164">
        <f t="shared" ref="R25:R30" ca="1" si="61">IFERROR(INDIRECT(D25&amp;"!k148"),"")</f>
        <v>0</v>
      </c>
      <c r="S25" s="164">
        <f t="shared" ref="S25:S30" ca="1" si="62">IFERROR(INDIRECT(D25&amp;"!q148"),"")</f>
        <v>0</v>
      </c>
      <c r="T25" s="164">
        <f t="shared" ref="T25:T30" ca="1" si="63">IFERROR(INDIRECT(D25&amp;"!r148"),"")</f>
        <v>0</v>
      </c>
      <c r="U25" s="164">
        <f t="shared" ref="U25:U30" ca="1" si="64">IFERROR(INDIRECT(D25&amp;"!s148"),"")</f>
        <v>0</v>
      </c>
      <c r="V25" s="164">
        <f t="shared" ref="V25:V30" ca="1" si="65">IFERROR(INDIRECT(D25&amp;"!t148"),"")</f>
        <v>0</v>
      </c>
      <c r="W25" s="164">
        <f t="shared" ref="W25:W30" ca="1" si="66">IFERROR(INDIRECT(D25&amp;"!u148"),"")</f>
        <v>0</v>
      </c>
      <c r="X25" s="164">
        <f t="shared" ref="X25:X30" ca="1" si="67">IFERROR(INDIRECT(D25&amp;"!v148"),"")</f>
        <v>0</v>
      </c>
      <c r="Y25" s="164">
        <f t="shared" ca="1" si="24"/>
        <v>0</v>
      </c>
      <c r="AA25">
        <f t="shared" ca="1" si="25"/>
        <v>0</v>
      </c>
      <c r="AB25">
        <f t="shared" ca="1" si="27"/>
        <v>0</v>
      </c>
      <c r="AC25">
        <f t="shared" ca="1" si="28"/>
        <v>0</v>
      </c>
      <c r="AD25">
        <f t="shared" ca="1" si="29"/>
        <v>0</v>
      </c>
      <c r="AE25">
        <f t="shared" ca="1" si="30"/>
        <v>0</v>
      </c>
      <c r="AF25">
        <f t="shared" ca="1" si="31"/>
        <v>0</v>
      </c>
      <c r="AG25">
        <f t="shared" ca="1" si="32"/>
        <v>0</v>
      </c>
      <c r="AH25">
        <f t="shared" ca="1" si="33"/>
        <v>0</v>
      </c>
      <c r="AI25">
        <f t="shared" ca="1" si="34"/>
        <v>0</v>
      </c>
      <c r="AJ25">
        <f t="shared" ca="1" si="35"/>
        <v>0</v>
      </c>
      <c r="AK25">
        <f t="shared" ca="1" si="36"/>
        <v>0</v>
      </c>
      <c r="AL25">
        <f t="shared" ca="1" si="37"/>
        <v>0</v>
      </c>
      <c r="AM25">
        <f t="shared" ca="1" si="38"/>
        <v>0</v>
      </c>
      <c r="AO25">
        <f t="shared" ca="1" si="26"/>
        <v>0</v>
      </c>
      <c r="AP25">
        <f t="shared" ca="1" si="39"/>
        <v>0</v>
      </c>
      <c r="AQ25">
        <f t="shared" ca="1" si="40"/>
        <v>0</v>
      </c>
      <c r="AR25">
        <f t="shared" ca="1" si="41"/>
        <v>0</v>
      </c>
      <c r="AS25">
        <f t="shared" ca="1" si="42"/>
        <v>0</v>
      </c>
      <c r="AT25">
        <f t="shared" ca="1" si="43"/>
        <v>0</v>
      </c>
      <c r="AU25">
        <f t="shared" ca="1" si="44"/>
        <v>0</v>
      </c>
      <c r="AV25">
        <f t="shared" ca="1" si="45"/>
        <v>0</v>
      </c>
      <c r="AW25">
        <f t="shared" ca="1" si="46"/>
        <v>0</v>
      </c>
      <c r="AX25">
        <f t="shared" ca="1" si="47"/>
        <v>0</v>
      </c>
      <c r="AY25">
        <f t="shared" ca="1" si="48"/>
        <v>0</v>
      </c>
      <c r="AZ25">
        <f t="shared" ca="1" si="49"/>
        <v>0</v>
      </c>
      <c r="BA25">
        <f t="shared" ca="1" si="50"/>
        <v>0</v>
      </c>
    </row>
    <row r="26" spans="1:53" x14ac:dyDescent="0.25">
      <c r="A26" s="161" t="str">
        <f ca="1">CELL("nome.arquivo",'Ef3'!$A$1:$K$1)</f>
        <v>U:\PLANILHAS DE OCUPAÇÃO DOCENTE\Planos de Trabalho\Planos de Trabalho 2025.1\[Simulador PTI Validado com POD AGRO Automático.xlsx]Ef3</v>
      </c>
      <c r="B26" s="161">
        <f t="shared" ref="B26:B30" ca="1" si="68">SEARCH("]",A26)</f>
        <v>131</v>
      </c>
      <c r="C26" s="161">
        <f t="shared" ref="C26:C30" ca="1" si="69">LEN(A26)</f>
        <v>134</v>
      </c>
      <c r="D26" s="161" t="str">
        <f t="shared" ref="D26:D30" ca="1" si="70">MID(A26,B26+1,C26)</f>
        <v>Ef3</v>
      </c>
      <c r="E26" s="162" t="s">
        <v>1408</v>
      </c>
      <c r="F26" s="161" t="str">
        <f t="shared" ref="F26:F30" ca="1" si="71">CONCATENATE(D26,E26)</f>
        <v>Ef3!</v>
      </c>
      <c r="H26" s="163" t="str">
        <f t="shared" ca="1" si="51"/>
        <v/>
      </c>
      <c r="I26" s="163">
        <f t="shared" ca="1" si="52"/>
        <v>0</v>
      </c>
      <c r="J26" s="163" t="str">
        <f t="shared" ca="1" si="53"/>
        <v/>
      </c>
      <c r="K26" s="163" t="str">
        <f t="shared" ca="1" si="54"/>
        <v/>
      </c>
      <c r="L26" s="166" t="str">
        <f t="shared" ca="1" si="55"/>
        <v/>
      </c>
      <c r="M26" s="164">
        <f t="shared" ca="1" si="56"/>
        <v>0</v>
      </c>
      <c r="N26" s="164">
        <f t="shared" ca="1" si="57"/>
        <v>0</v>
      </c>
      <c r="O26" s="164">
        <f t="shared" ca="1" si="58"/>
        <v>0</v>
      </c>
      <c r="P26" s="164">
        <f t="shared" ca="1" si="59"/>
        <v>0</v>
      </c>
      <c r="Q26" s="164">
        <f t="shared" ca="1" si="60"/>
        <v>0</v>
      </c>
      <c r="R26" s="164">
        <f t="shared" ca="1" si="61"/>
        <v>0</v>
      </c>
      <c r="S26" s="164">
        <f t="shared" ca="1" si="62"/>
        <v>0</v>
      </c>
      <c r="T26" s="164">
        <f t="shared" ca="1" si="63"/>
        <v>0</v>
      </c>
      <c r="U26" s="164">
        <f t="shared" ca="1" si="64"/>
        <v>0</v>
      </c>
      <c r="V26" s="164">
        <f t="shared" ca="1" si="65"/>
        <v>0</v>
      </c>
      <c r="W26" s="164">
        <f t="shared" ca="1" si="66"/>
        <v>0</v>
      </c>
      <c r="X26" s="164">
        <f t="shared" ca="1" si="67"/>
        <v>0</v>
      </c>
      <c r="Y26" s="164">
        <f t="shared" ca="1" si="24"/>
        <v>0</v>
      </c>
      <c r="AA26">
        <f t="shared" ca="1" si="25"/>
        <v>0</v>
      </c>
      <c r="AB26">
        <f t="shared" ca="1" si="27"/>
        <v>0</v>
      </c>
      <c r="AC26">
        <f t="shared" ca="1" si="28"/>
        <v>0</v>
      </c>
      <c r="AD26">
        <f t="shared" ca="1" si="29"/>
        <v>0</v>
      </c>
      <c r="AE26">
        <f t="shared" ca="1" si="30"/>
        <v>0</v>
      </c>
      <c r="AF26">
        <f t="shared" ca="1" si="31"/>
        <v>0</v>
      </c>
      <c r="AG26">
        <f t="shared" ca="1" si="32"/>
        <v>0</v>
      </c>
      <c r="AH26">
        <f t="shared" ca="1" si="33"/>
        <v>0</v>
      </c>
      <c r="AI26">
        <f t="shared" ca="1" si="34"/>
        <v>0</v>
      </c>
      <c r="AJ26">
        <f t="shared" ca="1" si="35"/>
        <v>0</v>
      </c>
      <c r="AK26">
        <f t="shared" ca="1" si="36"/>
        <v>0</v>
      </c>
      <c r="AL26">
        <f t="shared" ca="1" si="37"/>
        <v>0</v>
      </c>
      <c r="AM26">
        <f t="shared" ca="1" si="38"/>
        <v>0</v>
      </c>
      <c r="AO26">
        <f t="shared" ca="1" si="26"/>
        <v>0</v>
      </c>
      <c r="AP26">
        <f t="shared" ca="1" si="39"/>
        <v>0</v>
      </c>
      <c r="AQ26">
        <f t="shared" ca="1" si="40"/>
        <v>0</v>
      </c>
      <c r="AR26">
        <f t="shared" ca="1" si="41"/>
        <v>0</v>
      </c>
      <c r="AS26">
        <f t="shared" ca="1" si="42"/>
        <v>0</v>
      </c>
      <c r="AT26">
        <f t="shared" ca="1" si="43"/>
        <v>0</v>
      </c>
      <c r="AU26">
        <f t="shared" ca="1" si="44"/>
        <v>0</v>
      </c>
      <c r="AV26">
        <f t="shared" ca="1" si="45"/>
        <v>0</v>
      </c>
      <c r="AW26">
        <f t="shared" ca="1" si="46"/>
        <v>0</v>
      </c>
      <c r="AX26">
        <f t="shared" ca="1" si="47"/>
        <v>0</v>
      </c>
      <c r="AY26">
        <f t="shared" ca="1" si="48"/>
        <v>0</v>
      </c>
      <c r="AZ26">
        <f t="shared" ca="1" si="49"/>
        <v>0</v>
      </c>
      <c r="BA26">
        <f t="shared" ca="1" si="50"/>
        <v>0</v>
      </c>
    </row>
    <row r="27" spans="1:53" x14ac:dyDescent="0.25">
      <c r="A27" s="161" t="str">
        <f ca="1">CELL("nome.arquivo",'Ef4'!$A$1:$K$1)</f>
        <v>U:\PLANILHAS DE OCUPAÇÃO DOCENTE\Planos de Trabalho\Planos de Trabalho 2025.1\[Simulador PTI Validado com POD AGRO Automático.xlsx]Ef4</v>
      </c>
      <c r="B27" s="161">
        <f t="shared" ca="1" si="68"/>
        <v>131</v>
      </c>
      <c r="C27" s="161">
        <f t="shared" ca="1" si="69"/>
        <v>134</v>
      </c>
      <c r="D27" s="161" t="str">
        <f t="shared" ca="1" si="70"/>
        <v>Ef4</v>
      </c>
      <c r="E27" s="162" t="s">
        <v>1408</v>
      </c>
      <c r="F27" s="161" t="str">
        <f t="shared" ca="1" si="71"/>
        <v>Ef4!</v>
      </c>
      <c r="H27" s="163" t="str">
        <f t="shared" ca="1" si="51"/>
        <v/>
      </c>
      <c r="I27" s="163">
        <f t="shared" ca="1" si="52"/>
        <v>0</v>
      </c>
      <c r="J27" s="163" t="str">
        <f t="shared" ca="1" si="53"/>
        <v/>
      </c>
      <c r="K27" s="163" t="str">
        <f t="shared" ca="1" si="54"/>
        <v/>
      </c>
      <c r="L27" s="166" t="str">
        <f t="shared" ca="1" si="55"/>
        <v/>
      </c>
      <c r="M27" s="164">
        <f t="shared" ca="1" si="56"/>
        <v>0</v>
      </c>
      <c r="N27" s="164">
        <f t="shared" ca="1" si="57"/>
        <v>0</v>
      </c>
      <c r="O27" s="164">
        <f t="shared" ca="1" si="58"/>
        <v>0</v>
      </c>
      <c r="P27" s="164">
        <f t="shared" ca="1" si="59"/>
        <v>0</v>
      </c>
      <c r="Q27" s="164">
        <f t="shared" ca="1" si="60"/>
        <v>0</v>
      </c>
      <c r="R27" s="164">
        <f t="shared" ca="1" si="61"/>
        <v>0</v>
      </c>
      <c r="S27" s="164">
        <f t="shared" ca="1" si="62"/>
        <v>0</v>
      </c>
      <c r="T27" s="164">
        <f t="shared" ca="1" si="63"/>
        <v>0</v>
      </c>
      <c r="U27" s="164">
        <f t="shared" ca="1" si="64"/>
        <v>0</v>
      </c>
      <c r="V27" s="164">
        <f t="shared" ca="1" si="65"/>
        <v>0</v>
      </c>
      <c r="W27" s="164">
        <f t="shared" ca="1" si="66"/>
        <v>0</v>
      </c>
      <c r="X27" s="164">
        <f t="shared" ca="1" si="67"/>
        <v>0</v>
      </c>
      <c r="Y27" s="164">
        <f t="shared" ca="1" si="24"/>
        <v>0</v>
      </c>
      <c r="AA27">
        <f t="shared" ca="1" si="25"/>
        <v>0</v>
      </c>
      <c r="AB27">
        <f t="shared" ca="1" si="27"/>
        <v>0</v>
      </c>
      <c r="AC27">
        <f t="shared" ca="1" si="28"/>
        <v>0</v>
      </c>
      <c r="AD27">
        <f t="shared" ca="1" si="29"/>
        <v>0</v>
      </c>
      <c r="AE27">
        <f t="shared" ca="1" si="30"/>
        <v>0</v>
      </c>
      <c r="AF27">
        <f t="shared" ca="1" si="31"/>
        <v>0</v>
      </c>
      <c r="AG27">
        <f t="shared" ca="1" si="32"/>
        <v>0</v>
      </c>
      <c r="AH27">
        <f t="shared" ca="1" si="33"/>
        <v>0</v>
      </c>
      <c r="AI27">
        <f t="shared" ca="1" si="34"/>
        <v>0</v>
      </c>
      <c r="AJ27">
        <f t="shared" ca="1" si="35"/>
        <v>0</v>
      </c>
      <c r="AK27">
        <f t="shared" ca="1" si="36"/>
        <v>0</v>
      </c>
      <c r="AL27">
        <f t="shared" ca="1" si="37"/>
        <v>0</v>
      </c>
      <c r="AM27">
        <f t="shared" ca="1" si="38"/>
        <v>0</v>
      </c>
      <c r="AO27">
        <f t="shared" ca="1" si="26"/>
        <v>0</v>
      </c>
      <c r="AP27">
        <f t="shared" ca="1" si="39"/>
        <v>0</v>
      </c>
      <c r="AQ27">
        <f t="shared" ca="1" si="40"/>
        <v>0</v>
      </c>
      <c r="AR27">
        <f t="shared" ca="1" si="41"/>
        <v>0</v>
      </c>
      <c r="AS27">
        <f t="shared" ca="1" si="42"/>
        <v>0</v>
      </c>
      <c r="AT27">
        <f t="shared" ca="1" si="43"/>
        <v>0</v>
      </c>
      <c r="AU27">
        <f t="shared" ca="1" si="44"/>
        <v>0</v>
      </c>
      <c r="AV27">
        <f t="shared" ca="1" si="45"/>
        <v>0</v>
      </c>
      <c r="AW27">
        <f t="shared" ca="1" si="46"/>
        <v>0</v>
      </c>
      <c r="AX27">
        <f t="shared" ca="1" si="47"/>
        <v>0</v>
      </c>
      <c r="AY27">
        <f t="shared" ca="1" si="48"/>
        <v>0</v>
      </c>
      <c r="AZ27">
        <f t="shared" ca="1" si="49"/>
        <v>0</v>
      </c>
      <c r="BA27">
        <f t="shared" ca="1" si="50"/>
        <v>0</v>
      </c>
    </row>
    <row r="28" spans="1:53" x14ac:dyDescent="0.25">
      <c r="A28" s="161" t="str">
        <f ca="1">CELL("nome.arquivo",'Ef5'!$A$1:$K$1)</f>
        <v>U:\PLANILHAS DE OCUPAÇÃO DOCENTE\Planos de Trabalho\Planos de Trabalho 2025.1\[Simulador PTI Validado com POD AGRO Automático.xlsx]Ef5</v>
      </c>
      <c r="B28" s="161">
        <f t="shared" ca="1" si="68"/>
        <v>131</v>
      </c>
      <c r="C28" s="161">
        <f t="shared" ca="1" si="69"/>
        <v>134</v>
      </c>
      <c r="D28" s="161" t="str">
        <f t="shared" ca="1" si="70"/>
        <v>Ef5</v>
      </c>
      <c r="E28" s="162" t="s">
        <v>1408</v>
      </c>
      <c r="F28" s="161" t="str">
        <f t="shared" ca="1" si="71"/>
        <v>Ef5!</v>
      </c>
      <c r="H28" s="163" t="str">
        <f t="shared" ca="1" si="51"/>
        <v/>
      </c>
      <c r="I28" s="163">
        <f t="shared" ca="1" si="52"/>
        <v>0</v>
      </c>
      <c r="J28" s="163" t="str">
        <f t="shared" ca="1" si="53"/>
        <v/>
      </c>
      <c r="K28" s="163" t="str">
        <f t="shared" ca="1" si="54"/>
        <v/>
      </c>
      <c r="L28" s="166" t="str">
        <f t="shared" ca="1" si="55"/>
        <v/>
      </c>
      <c r="M28" s="164">
        <f t="shared" ca="1" si="56"/>
        <v>0</v>
      </c>
      <c r="N28" s="164">
        <f t="shared" ca="1" si="57"/>
        <v>0</v>
      </c>
      <c r="O28" s="164">
        <f t="shared" ca="1" si="58"/>
        <v>0</v>
      </c>
      <c r="P28" s="164">
        <f t="shared" ca="1" si="59"/>
        <v>0</v>
      </c>
      <c r="Q28" s="164">
        <f t="shared" ca="1" si="60"/>
        <v>0</v>
      </c>
      <c r="R28" s="164">
        <f t="shared" ca="1" si="61"/>
        <v>0</v>
      </c>
      <c r="S28" s="164">
        <f t="shared" ca="1" si="62"/>
        <v>0</v>
      </c>
      <c r="T28" s="164">
        <f t="shared" ca="1" si="63"/>
        <v>0</v>
      </c>
      <c r="U28" s="164">
        <f t="shared" ca="1" si="64"/>
        <v>0</v>
      </c>
      <c r="V28" s="164">
        <f t="shared" ca="1" si="65"/>
        <v>0</v>
      </c>
      <c r="W28" s="164">
        <f t="shared" ca="1" si="66"/>
        <v>0</v>
      </c>
      <c r="X28" s="164">
        <f t="shared" ca="1" si="67"/>
        <v>0</v>
      </c>
      <c r="Y28" s="164">
        <f t="shared" ca="1" si="24"/>
        <v>0</v>
      </c>
      <c r="AA28">
        <f t="shared" ca="1" si="25"/>
        <v>0</v>
      </c>
      <c r="AB28">
        <f t="shared" ca="1" si="27"/>
        <v>0</v>
      </c>
      <c r="AC28">
        <f t="shared" ca="1" si="28"/>
        <v>0</v>
      </c>
      <c r="AD28">
        <f t="shared" ca="1" si="29"/>
        <v>0</v>
      </c>
      <c r="AE28">
        <f t="shared" ca="1" si="30"/>
        <v>0</v>
      </c>
      <c r="AF28">
        <f t="shared" ca="1" si="31"/>
        <v>0</v>
      </c>
      <c r="AG28">
        <f t="shared" ca="1" si="32"/>
        <v>0</v>
      </c>
      <c r="AH28">
        <f t="shared" ca="1" si="33"/>
        <v>0</v>
      </c>
      <c r="AI28">
        <f t="shared" ca="1" si="34"/>
        <v>0</v>
      </c>
      <c r="AJ28">
        <f t="shared" ca="1" si="35"/>
        <v>0</v>
      </c>
      <c r="AK28">
        <f t="shared" ca="1" si="36"/>
        <v>0</v>
      </c>
      <c r="AL28">
        <f t="shared" ca="1" si="37"/>
        <v>0</v>
      </c>
      <c r="AM28">
        <f t="shared" ca="1" si="38"/>
        <v>0</v>
      </c>
      <c r="AO28">
        <f t="shared" ca="1" si="26"/>
        <v>0</v>
      </c>
      <c r="AP28">
        <f t="shared" ca="1" si="39"/>
        <v>0</v>
      </c>
      <c r="AQ28">
        <f t="shared" ca="1" si="40"/>
        <v>0</v>
      </c>
      <c r="AR28">
        <f t="shared" ca="1" si="41"/>
        <v>0</v>
      </c>
      <c r="AS28">
        <f t="shared" ca="1" si="42"/>
        <v>0</v>
      </c>
      <c r="AT28">
        <f t="shared" ca="1" si="43"/>
        <v>0</v>
      </c>
      <c r="AU28">
        <f t="shared" ca="1" si="44"/>
        <v>0</v>
      </c>
      <c r="AV28">
        <f t="shared" ca="1" si="45"/>
        <v>0</v>
      </c>
      <c r="AW28">
        <f t="shared" ca="1" si="46"/>
        <v>0</v>
      </c>
      <c r="AX28">
        <f t="shared" ca="1" si="47"/>
        <v>0</v>
      </c>
      <c r="AY28">
        <f t="shared" ca="1" si="48"/>
        <v>0</v>
      </c>
      <c r="AZ28">
        <f t="shared" ca="1" si="49"/>
        <v>0</v>
      </c>
      <c r="BA28">
        <f t="shared" ca="1" si="50"/>
        <v>0</v>
      </c>
    </row>
    <row r="29" spans="1:53" x14ac:dyDescent="0.25">
      <c r="A29" s="161" t="str">
        <f ca="1">CELL("nome.arquivo",'Ef6'!$A$1:$K$1)</f>
        <v>U:\PLANILHAS DE OCUPAÇÃO DOCENTE\Planos de Trabalho\Planos de Trabalho 2025.1\[Simulador PTI Validado com POD AGRO Automático.xlsx]Ef6</v>
      </c>
      <c r="B29" s="161">
        <f t="shared" ca="1" si="68"/>
        <v>131</v>
      </c>
      <c r="C29" s="161">
        <f t="shared" ca="1" si="69"/>
        <v>134</v>
      </c>
      <c r="D29" s="161" t="str">
        <f t="shared" ca="1" si="70"/>
        <v>Ef6</v>
      </c>
      <c r="E29" s="162" t="s">
        <v>1408</v>
      </c>
      <c r="F29" s="161" t="str">
        <f t="shared" ca="1" si="71"/>
        <v>Ef6!</v>
      </c>
      <c r="H29" s="163" t="str">
        <f t="shared" ca="1" si="51"/>
        <v/>
      </c>
      <c r="I29" s="163">
        <f t="shared" ca="1" si="52"/>
        <v>0</v>
      </c>
      <c r="J29" s="163" t="str">
        <f t="shared" ca="1" si="53"/>
        <v/>
      </c>
      <c r="K29" s="163" t="str">
        <f t="shared" ca="1" si="54"/>
        <v/>
      </c>
      <c r="L29" s="166" t="str">
        <f t="shared" ca="1" si="55"/>
        <v/>
      </c>
      <c r="M29" s="164">
        <f t="shared" ca="1" si="56"/>
        <v>0</v>
      </c>
      <c r="N29" s="164">
        <f t="shared" ca="1" si="57"/>
        <v>0</v>
      </c>
      <c r="O29" s="164">
        <f t="shared" ca="1" si="58"/>
        <v>0</v>
      </c>
      <c r="P29" s="164">
        <f t="shared" ca="1" si="59"/>
        <v>0</v>
      </c>
      <c r="Q29" s="164">
        <f t="shared" ca="1" si="60"/>
        <v>0</v>
      </c>
      <c r="R29" s="164">
        <f t="shared" ca="1" si="61"/>
        <v>0</v>
      </c>
      <c r="S29" s="164">
        <f t="shared" ca="1" si="62"/>
        <v>0</v>
      </c>
      <c r="T29" s="164">
        <f t="shared" ca="1" si="63"/>
        <v>0</v>
      </c>
      <c r="U29" s="164">
        <f t="shared" ca="1" si="64"/>
        <v>0</v>
      </c>
      <c r="V29" s="164">
        <f t="shared" ca="1" si="65"/>
        <v>0</v>
      </c>
      <c r="W29" s="164">
        <f t="shared" ca="1" si="66"/>
        <v>0</v>
      </c>
      <c r="X29" s="164">
        <f t="shared" ca="1" si="67"/>
        <v>0</v>
      </c>
      <c r="Y29" s="164">
        <f t="shared" ca="1" si="24"/>
        <v>0</v>
      </c>
      <c r="AA29">
        <f t="shared" ca="1" si="25"/>
        <v>0</v>
      </c>
      <c r="AB29">
        <f t="shared" ca="1" si="27"/>
        <v>0</v>
      </c>
      <c r="AC29">
        <f t="shared" ca="1" si="28"/>
        <v>0</v>
      </c>
      <c r="AD29">
        <f t="shared" ca="1" si="29"/>
        <v>0</v>
      </c>
      <c r="AE29">
        <f t="shared" ca="1" si="30"/>
        <v>0</v>
      </c>
      <c r="AF29">
        <f t="shared" ca="1" si="31"/>
        <v>0</v>
      </c>
      <c r="AG29">
        <f t="shared" ca="1" si="32"/>
        <v>0</v>
      </c>
      <c r="AH29">
        <f t="shared" ca="1" si="33"/>
        <v>0</v>
      </c>
      <c r="AI29">
        <f t="shared" ca="1" si="34"/>
        <v>0</v>
      </c>
      <c r="AJ29">
        <f t="shared" ca="1" si="35"/>
        <v>0</v>
      </c>
      <c r="AK29">
        <f t="shared" ca="1" si="36"/>
        <v>0</v>
      </c>
      <c r="AL29">
        <f t="shared" ca="1" si="37"/>
        <v>0</v>
      </c>
      <c r="AM29">
        <f t="shared" ca="1" si="38"/>
        <v>0</v>
      </c>
      <c r="AO29">
        <f t="shared" ca="1" si="26"/>
        <v>0</v>
      </c>
      <c r="AP29">
        <f t="shared" ca="1" si="39"/>
        <v>0</v>
      </c>
      <c r="AQ29">
        <f t="shared" ca="1" si="40"/>
        <v>0</v>
      </c>
      <c r="AR29">
        <f t="shared" ca="1" si="41"/>
        <v>0</v>
      </c>
      <c r="AS29">
        <f t="shared" ca="1" si="42"/>
        <v>0</v>
      </c>
      <c r="AT29">
        <f t="shared" ca="1" si="43"/>
        <v>0</v>
      </c>
      <c r="AU29">
        <f t="shared" ca="1" si="44"/>
        <v>0</v>
      </c>
      <c r="AV29">
        <f t="shared" ca="1" si="45"/>
        <v>0</v>
      </c>
      <c r="AW29">
        <f t="shared" ca="1" si="46"/>
        <v>0</v>
      </c>
      <c r="AX29">
        <f t="shared" ca="1" si="47"/>
        <v>0</v>
      </c>
      <c r="AY29">
        <f t="shared" ca="1" si="48"/>
        <v>0</v>
      </c>
      <c r="AZ29">
        <f t="shared" ca="1" si="49"/>
        <v>0</v>
      </c>
      <c r="BA29">
        <f t="shared" ca="1" si="50"/>
        <v>0</v>
      </c>
    </row>
    <row r="30" spans="1:53" x14ac:dyDescent="0.25">
      <c r="A30" s="161" t="str">
        <f ca="1">CELL("nome.arquivo",'Ef7'!$A$1:$K$1)</f>
        <v>U:\PLANILHAS DE OCUPAÇÃO DOCENTE\Planos de Trabalho\Planos de Trabalho 2025.1\[Simulador PTI Validado com POD AGRO Automático.xlsx]Ef7</v>
      </c>
      <c r="B30" s="161">
        <f t="shared" ca="1" si="68"/>
        <v>131</v>
      </c>
      <c r="C30" s="161">
        <f t="shared" ca="1" si="69"/>
        <v>134</v>
      </c>
      <c r="D30" s="161" t="str">
        <f t="shared" ca="1" si="70"/>
        <v>Ef7</v>
      </c>
      <c r="E30" s="162" t="s">
        <v>1408</v>
      </c>
      <c r="F30" s="161" t="str">
        <f t="shared" ca="1" si="71"/>
        <v>Ef7!</v>
      </c>
      <c r="H30" s="163" t="str">
        <f t="shared" ca="1" si="51"/>
        <v/>
      </c>
      <c r="I30" s="163">
        <f t="shared" ca="1" si="52"/>
        <v>0</v>
      </c>
      <c r="J30" s="163" t="str">
        <f t="shared" ca="1" si="53"/>
        <v/>
      </c>
      <c r="K30" s="163" t="str">
        <f t="shared" ca="1" si="54"/>
        <v/>
      </c>
      <c r="L30" s="166" t="str">
        <f t="shared" ca="1" si="55"/>
        <v/>
      </c>
      <c r="M30" s="164">
        <f t="shared" ca="1" si="56"/>
        <v>0</v>
      </c>
      <c r="N30" s="164">
        <f t="shared" ca="1" si="57"/>
        <v>0</v>
      </c>
      <c r="O30" s="164">
        <f t="shared" ca="1" si="58"/>
        <v>0</v>
      </c>
      <c r="P30" s="164">
        <f t="shared" ca="1" si="59"/>
        <v>0</v>
      </c>
      <c r="Q30" s="164">
        <f t="shared" ca="1" si="60"/>
        <v>0</v>
      </c>
      <c r="R30" s="164">
        <f t="shared" ca="1" si="61"/>
        <v>0</v>
      </c>
      <c r="S30" s="164">
        <f t="shared" ca="1" si="62"/>
        <v>0</v>
      </c>
      <c r="T30" s="164">
        <f t="shared" ca="1" si="63"/>
        <v>0</v>
      </c>
      <c r="U30" s="164">
        <f t="shared" ca="1" si="64"/>
        <v>0</v>
      </c>
      <c r="V30" s="164">
        <f t="shared" ca="1" si="65"/>
        <v>0</v>
      </c>
      <c r="W30" s="164">
        <f t="shared" ca="1" si="66"/>
        <v>0</v>
      </c>
      <c r="X30" s="164">
        <f t="shared" ca="1" si="67"/>
        <v>0</v>
      </c>
      <c r="Y30" s="164">
        <f t="shared" ca="1" si="24"/>
        <v>0</v>
      </c>
      <c r="AA30">
        <f t="shared" ca="1" si="25"/>
        <v>0</v>
      </c>
      <c r="AB30">
        <f t="shared" ca="1" si="27"/>
        <v>0</v>
      </c>
      <c r="AC30">
        <f t="shared" ca="1" si="28"/>
        <v>0</v>
      </c>
      <c r="AD30">
        <f t="shared" ca="1" si="29"/>
        <v>0</v>
      </c>
      <c r="AE30">
        <f t="shared" ca="1" si="30"/>
        <v>0</v>
      </c>
      <c r="AF30">
        <f t="shared" ca="1" si="31"/>
        <v>0</v>
      </c>
      <c r="AG30">
        <f t="shared" ca="1" si="32"/>
        <v>0</v>
      </c>
      <c r="AH30">
        <f t="shared" ca="1" si="33"/>
        <v>0</v>
      </c>
      <c r="AI30">
        <f t="shared" ca="1" si="34"/>
        <v>0</v>
      </c>
      <c r="AJ30">
        <f t="shared" ca="1" si="35"/>
        <v>0</v>
      </c>
      <c r="AK30">
        <f t="shared" ca="1" si="36"/>
        <v>0</v>
      </c>
      <c r="AL30">
        <f t="shared" ca="1" si="37"/>
        <v>0</v>
      </c>
      <c r="AM30">
        <f t="shared" ca="1" si="38"/>
        <v>0</v>
      </c>
      <c r="AO30">
        <f t="shared" ca="1" si="26"/>
        <v>0</v>
      </c>
      <c r="AP30">
        <f t="shared" ca="1" si="39"/>
        <v>0</v>
      </c>
      <c r="AQ30">
        <f t="shared" ca="1" si="40"/>
        <v>0</v>
      </c>
      <c r="AR30">
        <f t="shared" ca="1" si="41"/>
        <v>0</v>
      </c>
      <c r="AS30">
        <f t="shared" ca="1" si="42"/>
        <v>0</v>
      </c>
      <c r="AT30">
        <f t="shared" ca="1" si="43"/>
        <v>0</v>
      </c>
      <c r="AU30">
        <f t="shared" ca="1" si="44"/>
        <v>0</v>
      </c>
      <c r="AV30">
        <f t="shared" ca="1" si="45"/>
        <v>0</v>
      </c>
      <c r="AW30">
        <f t="shared" ca="1" si="46"/>
        <v>0</v>
      </c>
      <c r="AX30">
        <f t="shared" ca="1" si="47"/>
        <v>0</v>
      </c>
      <c r="AY30">
        <f t="shared" ca="1" si="48"/>
        <v>0</v>
      </c>
      <c r="AZ30">
        <f t="shared" ca="1" si="49"/>
        <v>0</v>
      </c>
      <c r="BA30">
        <f t="shared" ca="1" si="50"/>
        <v>0</v>
      </c>
    </row>
    <row r="31" spans="1:53" x14ac:dyDescent="0.25">
      <c r="H31" s="163"/>
      <c r="I31" s="146" t="s">
        <v>1410</v>
      </c>
      <c r="J31" s="146"/>
      <c r="K31" s="146"/>
      <c r="L31" s="165"/>
      <c r="M31" s="143">
        <f ca="1">AA33</f>
        <v>134</v>
      </c>
      <c r="N31" s="143">
        <f t="shared" ref="N31:Y31" ca="1" si="72">AB33</f>
        <v>41</v>
      </c>
      <c r="O31" s="143">
        <f t="shared" ca="1" si="72"/>
        <v>180</v>
      </c>
      <c r="P31" s="143">
        <f t="shared" ca="1" si="72"/>
        <v>104.5</v>
      </c>
      <c r="Q31" s="143">
        <f t="shared" ca="1" si="72"/>
        <v>171</v>
      </c>
      <c r="R31" s="143">
        <f t="shared" ca="1" si="72"/>
        <v>48</v>
      </c>
      <c r="S31" s="143">
        <f t="shared" ca="1" si="72"/>
        <v>0</v>
      </c>
      <c r="T31" s="143">
        <f t="shared" ca="1" si="72"/>
        <v>3</v>
      </c>
      <c r="U31" s="143">
        <f t="shared" ca="1" si="72"/>
        <v>161</v>
      </c>
      <c r="V31" s="143">
        <f t="shared" ca="1" si="72"/>
        <v>0</v>
      </c>
      <c r="W31" s="143">
        <f t="shared" ca="1" si="72"/>
        <v>0</v>
      </c>
      <c r="X31" s="143">
        <f t="shared" ca="1" si="72"/>
        <v>40</v>
      </c>
      <c r="Y31" s="143">
        <f t="shared" ca="1" si="72"/>
        <v>882.5</v>
      </c>
      <c r="AA31">
        <f t="shared" si="25"/>
        <v>0</v>
      </c>
      <c r="AB31">
        <f t="shared" si="27"/>
        <v>0</v>
      </c>
      <c r="AC31">
        <f t="shared" si="28"/>
        <v>0</v>
      </c>
      <c r="AD31">
        <f t="shared" si="29"/>
        <v>0</v>
      </c>
      <c r="AE31">
        <f t="shared" si="30"/>
        <v>0</v>
      </c>
      <c r="AF31">
        <f t="shared" si="31"/>
        <v>0</v>
      </c>
      <c r="AG31">
        <f t="shared" si="32"/>
        <v>0</v>
      </c>
      <c r="AH31">
        <f t="shared" si="33"/>
        <v>0</v>
      </c>
      <c r="AI31">
        <f t="shared" si="34"/>
        <v>0</v>
      </c>
      <c r="AJ31">
        <f t="shared" si="35"/>
        <v>0</v>
      </c>
      <c r="AK31">
        <f t="shared" si="36"/>
        <v>0</v>
      </c>
      <c r="AL31">
        <f t="shared" si="37"/>
        <v>0</v>
      </c>
      <c r="AM31">
        <f t="shared" si="38"/>
        <v>0</v>
      </c>
      <c r="AO31">
        <f t="shared" si="26"/>
        <v>0</v>
      </c>
      <c r="AP31">
        <f t="shared" si="39"/>
        <v>0</v>
      </c>
      <c r="AQ31">
        <f t="shared" si="40"/>
        <v>0</v>
      </c>
      <c r="AR31">
        <f t="shared" si="41"/>
        <v>0</v>
      </c>
      <c r="AS31">
        <f t="shared" si="42"/>
        <v>0</v>
      </c>
      <c r="AT31">
        <f t="shared" si="43"/>
        <v>0</v>
      </c>
      <c r="AU31">
        <f t="shared" si="44"/>
        <v>0</v>
      </c>
      <c r="AV31">
        <f t="shared" si="45"/>
        <v>0</v>
      </c>
      <c r="AW31">
        <f t="shared" si="46"/>
        <v>0</v>
      </c>
      <c r="AX31">
        <f t="shared" si="47"/>
        <v>0</v>
      </c>
      <c r="AY31">
        <f t="shared" si="48"/>
        <v>0</v>
      </c>
      <c r="AZ31">
        <f t="shared" si="49"/>
        <v>0</v>
      </c>
      <c r="BA31">
        <f t="shared" si="50"/>
        <v>0</v>
      </c>
    </row>
    <row r="32" spans="1:53" x14ac:dyDescent="0.25">
      <c r="H32" s="163"/>
      <c r="I32" s="146" t="s">
        <v>1411</v>
      </c>
      <c r="J32" s="146"/>
      <c r="K32" s="146"/>
      <c r="L32" s="165"/>
      <c r="M32" s="143">
        <f ca="1">AO33</f>
        <v>24</v>
      </c>
      <c r="N32" s="143">
        <f t="shared" ref="N32:Y32" ca="1" si="73">AP33</f>
        <v>0</v>
      </c>
      <c r="O32" s="143">
        <f t="shared" ca="1" si="73"/>
        <v>0</v>
      </c>
      <c r="P32" s="143">
        <f t="shared" ca="1" si="73"/>
        <v>0</v>
      </c>
      <c r="Q32" s="143">
        <f t="shared" ca="1" si="73"/>
        <v>0</v>
      </c>
      <c r="R32" s="143">
        <f t="shared" ca="1" si="73"/>
        <v>0</v>
      </c>
      <c r="S32" s="143">
        <f t="shared" ca="1" si="73"/>
        <v>0</v>
      </c>
      <c r="T32" s="143">
        <f t="shared" ca="1" si="73"/>
        <v>0</v>
      </c>
      <c r="U32" s="143">
        <f t="shared" ca="1" si="73"/>
        <v>0</v>
      </c>
      <c r="V32" s="143">
        <f t="shared" ca="1" si="73"/>
        <v>0</v>
      </c>
      <c r="W32" s="143">
        <f t="shared" ca="1" si="73"/>
        <v>0</v>
      </c>
      <c r="X32" s="143">
        <f t="shared" ca="1" si="73"/>
        <v>0</v>
      </c>
      <c r="Y32" s="143">
        <f t="shared" ca="1" si="73"/>
        <v>24</v>
      </c>
      <c r="AA32">
        <f t="shared" si="25"/>
        <v>0</v>
      </c>
      <c r="AB32">
        <f t="shared" si="27"/>
        <v>0</v>
      </c>
      <c r="AC32">
        <f t="shared" si="28"/>
        <v>0</v>
      </c>
      <c r="AD32">
        <f t="shared" si="29"/>
        <v>0</v>
      </c>
      <c r="AE32">
        <f t="shared" si="30"/>
        <v>0</v>
      </c>
      <c r="AF32">
        <f t="shared" si="31"/>
        <v>0</v>
      </c>
      <c r="AG32">
        <f t="shared" si="32"/>
        <v>0</v>
      </c>
      <c r="AH32">
        <f t="shared" si="33"/>
        <v>0</v>
      </c>
      <c r="AI32">
        <f t="shared" si="34"/>
        <v>0</v>
      </c>
      <c r="AJ32">
        <f t="shared" si="35"/>
        <v>0</v>
      </c>
      <c r="AK32">
        <f t="shared" si="36"/>
        <v>0</v>
      </c>
      <c r="AL32">
        <f t="shared" si="37"/>
        <v>0</v>
      </c>
      <c r="AM32">
        <f t="shared" si="38"/>
        <v>0</v>
      </c>
      <c r="AO32">
        <f t="shared" si="26"/>
        <v>0</v>
      </c>
      <c r="AP32">
        <f t="shared" si="39"/>
        <v>0</v>
      </c>
      <c r="AQ32">
        <f t="shared" si="40"/>
        <v>0</v>
      </c>
      <c r="AR32">
        <f t="shared" si="41"/>
        <v>0</v>
      </c>
      <c r="AS32">
        <f t="shared" si="42"/>
        <v>0</v>
      </c>
      <c r="AT32">
        <f t="shared" si="43"/>
        <v>0</v>
      </c>
      <c r="AU32">
        <f t="shared" si="44"/>
        <v>0</v>
      </c>
      <c r="AV32">
        <f t="shared" si="45"/>
        <v>0</v>
      </c>
      <c r="AW32">
        <f t="shared" si="46"/>
        <v>0</v>
      </c>
      <c r="AX32">
        <f t="shared" si="47"/>
        <v>0</v>
      </c>
      <c r="AY32">
        <f t="shared" si="48"/>
        <v>0</v>
      </c>
      <c r="AZ32">
        <f t="shared" si="49"/>
        <v>0</v>
      </c>
      <c r="BA32">
        <f t="shared" si="50"/>
        <v>0</v>
      </c>
    </row>
    <row r="33" spans="8:53" x14ac:dyDescent="0.25">
      <c r="H33" s="163"/>
      <c r="I33" s="146" t="s">
        <v>1409</v>
      </c>
      <c r="J33" s="146"/>
      <c r="K33" s="146"/>
      <c r="L33" s="165"/>
      <c r="M33" s="143">
        <f ca="1">M31+M32</f>
        <v>158</v>
      </c>
      <c r="N33" s="143">
        <f t="shared" ref="N33:Y33" ca="1" si="74">N31+N32</f>
        <v>41</v>
      </c>
      <c r="O33" s="143">
        <f t="shared" ca="1" si="74"/>
        <v>180</v>
      </c>
      <c r="P33" s="143">
        <f t="shared" ca="1" si="74"/>
        <v>104.5</v>
      </c>
      <c r="Q33" s="143">
        <f t="shared" ca="1" si="74"/>
        <v>171</v>
      </c>
      <c r="R33" s="143">
        <f t="shared" ca="1" si="74"/>
        <v>48</v>
      </c>
      <c r="S33" s="143">
        <f t="shared" ca="1" si="74"/>
        <v>0</v>
      </c>
      <c r="T33" s="143">
        <f t="shared" ca="1" si="74"/>
        <v>3</v>
      </c>
      <c r="U33" s="143">
        <f t="shared" ca="1" si="74"/>
        <v>161</v>
      </c>
      <c r="V33" s="143">
        <f t="shared" ca="1" si="74"/>
        <v>0</v>
      </c>
      <c r="W33" s="143">
        <f t="shared" ca="1" si="74"/>
        <v>0</v>
      </c>
      <c r="X33" s="143">
        <f t="shared" ca="1" si="74"/>
        <v>40</v>
      </c>
      <c r="Y33" s="143">
        <f t="shared" ca="1" si="74"/>
        <v>906.5</v>
      </c>
      <c r="AA33">
        <f ca="1">SUM(AA2:AA32)</f>
        <v>134</v>
      </c>
      <c r="AB33">
        <f t="shared" ref="AB33:BA33" ca="1" si="75">SUM(AB2:AB32)</f>
        <v>41</v>
      </c>
      <c r="AC33">
        <f t="shared" ca="1" si="75"/>
        <v>180</v>
      </c>
      <c r="AD33">
        <f t="shared" ca="1" si="75"/>
        <v>104.5</v>
      </c>
      <c r="AE33">
        <f t="shared" ca="1" si="75"/>
        <v>171</v>
      </c>
      <c r="AF33">
        <f t="shared" ca="1" si="75"/>
        <v>48</v>
      </c>
      <c r="AG33">
        <f t="shared" ca="1" si="75"/>
        <v>0</v>
      </c>
      <c r="AH33">
        <f t="shared" ca="1" si="75"/>
        <v>3</v>
      </c>
      <c r="AI33">
        <f t="shared" ca="1" si="75"/>
        <v>161</v>
      </c>
      <c r="AJ33">
        <f t="shared" ca="1" si="75"/>
        <v>0</v>
      </c>
      <c r="AK33">
        <f t="shared" ca="1" si="75"/>
        <v>0</v>
      </c>
      <c r="AL33">
        <f t="shared" ca="1" si="75"/>
        <v>40</v>
      </c>
      <c r="AM33">
        <f t="shared" ca="1" si="75"/>
        <v>882.5</v>
      </c>
      <c r="AO33">
        <f t="shared" ca="1" si="75"/>
        <v>24</v>
      </c>
      <c r="AP33">
        <f t="shared" ca="1" si="75"/>
        <v>0</v>
      </c>
      <c r="AQ33">
        <f t="shared" ca="1" si="75"/>
        <v>0</v>
      </c>
      <c r="AR33">
        <f t="shared" ca="1" si="75"/>
        <v>0</v>
      </c>
      <c r="AS33">
        <f t="shared" ca="1" si="75"/>
        <v>0</v>
      </c>
      <c r="AT33">
        <f t="shared" ca="1" si="75"/>
        <v>0</v>
      </c>
      <c r="AU33">
        <f t="shared" ca="1" si="75"/>
        <v>0</v>
      </c>
      <c r="AV33">
        <f t="shared" ca="1" si="75"/>
        <v>0</v>
      </c>
      <c r="AW33">
        <f t="shared" ca="1" si="75"/>
        <v>0</v>
      </c>
      <c r="AX33">
        <f t="shared" ca="1" si="75"/>
        <v>0</v>
      </c>
      <c r="AY33">
        <f t="shared" ca="1" si="75"/>
        <v>0</v>
      </c>
      <c r="AZ33">
        <f t="shared" ca="1" si="75"/>
        <v>0</v>
      </c>
      <c r="BA33">
        <f t="shared" ca="1" si="75"/>
        <v>24</v>
      </c>
    </row>
    <row r="34" spans="8:53" x14ac:dyDescent="0.25">
      <c r="H34" s="163"/>
      <c r="I34" s="146" t="s">
        <v>1414</v>
      </c>
      <c r="J34" s="146"/>
      <c r="K34" s="146"/>
      <c r="L34" s="165"/>
      <c r="M34" s="167">
        <f t="shared" ref="M34:Y34" ca="1" si="76">M33/$Y$33</f>
        <v>0.17429674572531714</v>
      </c>
      <c r="N34" s="167">
        <f t="shared" ca="1" si="76"/>
        <v>4.5228902371759513E-2</v>
      </c>
      <c r="O34" s="167">
        <f t="shared" ca="1" si="76"/>
        <v>0.19856591285162714</v>
      </c>
      <c r="P34" s="167">
        <f t="shared" ca="1" si="76"/>
        <v>0.11527854384997242</v>
      </c>
      <c r="Q34" s="167">
        <f t="shared" ca="1" si="76"/>
        <v>0.18863761720904579</v>
      </c>
      <c r="R34" s="167">
        <f t="shared" ca="1" si="76"/>
        <v>5.2950910093767234E-2</v>
      </c>
      <c r="S34" s="167">
        <f t="shared" ca="1" si="76"/>
        <v>0</v>
      </c>
      <c r="T34" s="167">
        <f t="shared" ca="1" si="76"/>
        <v>3.3094318808604521E-3</v>
      </c>
      <c r="U34" s="167">
        <f t="shared" ca="1" si="76"/>
        <v>0.17760617760617761</v>
      </c>
      <c r="V34" s="167">
        <f t="shared" ca="1" si="76"/>
        <v>0</v>
      </c>
      <c r="W34" s="167">
        <f t="shared" ca="1" si="76"/>
        <v>0</v>
      </c>
      <c r="X34" s="167">
        <f t="shared" ca="1" si="76"/>
        <v>4.4125758411472697E-2</v>
      </c>
      <c r="Y34" s="167">
        <f t="shared" ca="1" si="76"/>
        <v>1</v>
      </c>
    </row>
    <row r="36" spans="8:53" x14ac:dyDescent="0.25">
      <c r="J36" s="233" t="s">
        <v>55</v>
      </c>
      <c r="K36" s="234"/>
      <c r="L36" s="234"/>
      <c r="M36" s="233" t="s">
        <v>56</v>
      </c>
      <c r="N36" s="234"/>
      <c r="O36" s="234"/>
      <c r="P36" s="237" t="s">
        <v>57</v>
      </c>
      <c r="Q36" s="238"/>
      <c r="R36" s="233" t="s">
        <v>58</v>
      </c>
      <c r="S36" s="234"/>
      <c r="T36" s="234"/>
      <c r="U36" s="234"/>
    </row>
    <row r="37" spans="8:53" x14ac:dyDescent="0.25">
      <c r="J37" s="235" t="s">
        <v>1412</v>
      </c>
      <c r="K37" s="236"/>
      <c r="L37" s="236"/>
      <c r="M37" s="235" t="s">
        <v>62</v>
      </c>
      <c r="N37" s="236"/>
      <c r="O37" s="236"/>
      <c r="P37" s="235"/>
      <c r="Q37" s="236"/>
      <c r="R37" s="235"/>
      <c r="S37" s="236"/>
      <c r="T37" s="236"/>
      <c r="U37" s="236"/>
    </row>
    <row r="38" spans="8:53" x14ac:dyDescent="0.25">
      <c r="J38" s="235" t="s">
        <v>32</v>
      </c>
      <c r="K38" s="236"/>
      <c r="L38" s="236"/>
      <c r="M38" s="235" t="s">
        <v>63</v>
      </c>
      <c r="N38" s="236"/>
      <c r="O38" s="236"/>
      <c r="P38" s="235"/>
      <c r="Q38" s="236"/>
      <c r="R38" s="235"/>
      <c r="S38" s="236"/>
      <c r="T38" s="236"/>
      <c r="U38" s="236"/>
    </row>
    <row r="39" spans="8:53" x14ac:dyDescent="0.25">
      <c r="J39" s="236" t="s">
        <v>60</v>
      </c>
      <c r="K39" s="236"/>
      <c r="L39" s="236"/>
      <c r="M39" s="235" t="s">
        <v>64</v>
      </c>
      <c r="N39" s="236"/>
      <c r="O39" s="236"/>
      <c r="P39" s="236"/>
      <c r="Q39" s="236"/>
      <c r="R39" s="236"/>
      <c r="S39" s="236"/>
      <c r="T39" s="236"/>
      <c r="U39" s="236"/>
    </row>
    <row r="40" spans="8:53" x14ac:dyDescent="0.25">
      <c r="J40" s="236" t="s">
        <v>61</v>
      </c>
      <c r="K40" s="236"/>
      <c r="L40" s="236"/>
      <c r="M40" s="235" t="s">
        <v>65</v>
      </c>
      <c r="N40" s="236"/>
      <c r="O40" s="236"/>
      <c r="P40" s="236"/>
      <c r="Q40" s="236"/>
      <c r="R40" s="236" t="s">
        <v>1413</v>
      </c>
      <c r="S40" s="236"/>
      <c r="T40" s="236"/>
      <c r="U40" s="236"/>
    </row>
  </sheetData>
  <sheetProtection formatCells="0" formatColumns="0" formatRows="0" insertColumns="0" insertRows="0" sort="0" autoFilter="0" pivotTables="0"/>
  <autoFilter ref="H1:Y1" xr:uid="{A329DAA3-0DC7-4A23-A2F4-BDCDF0CEAACA}"/>
  <sortState xmlns:xlrd2="http://schemas.microsoft.com/office/spreadsheetml/2017/richdata2" ref="A1:Y34">
    <sortCondition ref="H1"/>
  </sortState>
  <mergeCells count="20">
    <mergeCell ref="R36:U36"/>
    <mergeCell ref="R37:U37"/>
    <mergeCell ref="R38:U38"/>
    <mergeCell ref="R39:U39"/>
    <mergeCell ref="R40:U40"/>
    <mergeCell ref="P36:Q36"/>
    <mergeCell ref="P37:Q37"/>
    <mergeCell ref="P38:Q38"/>
    <mergeCell ref="P39:Q39"/>
    <mergeCell ref="P40:Q40"/>
    <mergeCell ref="M36:O36"/>
    <mergeCell ref="M37:O37"/>
    <mergeCell ref="M38:O38"/>
    <mergeCell ref="M39:O39"/>
    <mergeCell ref="M40:O40"/>
    <mergeCell ref="J36:L36"/>
    <mergeCell ref="J37:L37"/>
    <mergeCell ref="J38:L38"/>
    <mergeCell ref="J39:L39"/>
    <mergeCell ref="J40:L40"/>
  </mergeCells>
  <conditionalFormatting sqref="Y2:Y30">
    <cfRule type="cellIs" dxfId="0" priority="1" operator="greaterThan">
      <formula>40</formula>
    </cfRule>
  </conditionalFormatting>
  <pageMargins left="0.511811024" right="0.511811024" top="0.78740157499999996" bottom="0.78740157499999996" header="0.31496062000000002" footer="0.31496062000000002"/>
  <pageSetup paperSize="9" scale="63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70D23-11C7-425D-9CCA-5116B33AEB2B}">
  <dimension ref="A1:D117"/>
  <sheetViews>
    <sheetView showGridLines="0" topLeftCell="A76" workbookViewId="0">
      <selection activeCell="A117" sqref="A117"/>
    </sheetView>
  </sheetViews>
  <sheetFormatPr defaultRowHeight="15" x14ac:dyDescent="0.25"/>
  <cols>
    <col min="1" max="1" width="141.140625" style="1" bestFit="1" customWidth="1"/>
    <col min="2" max="2" width="27.85546875" style="1" bestFit="1" customWidth="1"/>
    <col min="3" max="3" width="34" style="1" bestFit="1" customWidth="1"/>
    <col min="4" max="4" width="19.5703125" style="1" customWidth="1"/>
    <col min="5" max="16384" width="9.140625" style="1"/>
  </cols>
  <sheetData>
    <row r="1" spans="1:2" x14ac:dyDescent="0.25">
      <c r="A1" s="1" t="s">
        <v>103</v>
      </c>
      <c r="B1" s="1" t="s">
        <v>104</v>
      </c>
    </row>
    <row r="2" spans="1:2" x14ac:dyDescent="0.25">
      <c r="A2" s="1" t="s">
        <v>78</v>
      </c>
      <c r="B2" s="1" t="s">
        <v>70</v>
      </c>
    </row>
    <row r="3" spans="1:2" x14ac:dyDescent="0.25">
      <c r="A3" s="1" t="s">
        <v>79</v>
      </c>
      <c r="B3" s="1" t="s">
        <v>73</v>
      </c>
    </row>
    <row r="4" spans="1:2" x14ac:dyDescent="0.25">
      <c r="A4" s="1" t="s">
        <v>80</v>
      </c>
      <c r="B4" s="1" t="s">
        <v>72</v>
      </c>
    </row>
    <row r="5" spans="1:2" x14ac:dyDescent="0.25">
      <c r="A5" s="1" t="s">
        <v>81</v>
      </c>
      <c r="B5" s="1" t="s">
        <v>69</v>
      </c>
    </row>
    <row r="6" spans="1:2" x14ac:dyDescent="0.25">
      <c r="A6" s="1" t="s">
        <v>82</v>
      </c>
      <c r="B6" s="1" t="s">
        <v>71</v>
      </c>
    </row>
    <row r="7" spans="1:2" x14ac:dyDescent="0.25">
      <c r="A7" s="1" t="s">
        <v>83</v>
      </c>
      <c r="B7" s="1" t="s">
        <v>105</v>
      </c>
    </row>
    <row r="10" spans="1:2" x14ac:dyDescent="0.25">
      <c r="A10" s="7" t="s">
        <v>106</v>
      </c>
      <c r="B10" s="8" t="s">
        <v>108</v>
      </c>
    </row>
    <row r="11" spans="1:2" x14ac:dyDescent="0.25">
      <c r="A11" s="7" t="s">
        <v>63</v>
      </c>
      <c r="B11" s="8" t="s">
        <v>66</v>
      </c>
    </row>
    <row r="12" spans="1:2" x14ac:dyDescent="0.25">
      <c r="A12" s="7" t="s">
        <v>64</v>
      </c>
      <c r="B12" s="8" t="s">
        <v>107</v>
      </c>
    </row>
    <row r="13" spans="1:2" x14ac:dyDescent="0.25">
      <c r="A13" s="7" t="s">
        <v>65</v>
      </c>
      <c r="B13" s="8" t="s">
        <v>68</v>
      </c>
    </row>
    <row r="16" spans="1:2" x14ac:dyDescent="0.25">
      <c r="A16" s="1" t="s">
        <v>86</v>
      </c>
    </row>
    <row r="17" spans="1:3" x14ac:dyDescent="0.25">
      <c r="A17" s="1" t="s">
        <v>84</v>
      </c>
    </row>
    <row r="18" spans="1:3" x14ac:dyDescent="0.25">
      <c r="A18" s="1" t="s">
        <v>85</v>
      </c>
    </row>
    <row r="19" spans="1:3" x14ac:dyDescent="0.25">
      <c r="A19" s="1" t="s">
        <v>109</v>
      </c>
    </row>
    <row r="20" spans="1:3" x14ac:dyDescent="0.25">
      <c r="A20" s="1" t="s">
        <v>87</v>
      </c>
    </row>
    <row r="23" spans="1:3" x14ac:dyDescent="0.25">
      <c r="A23" s="9" t="s">
        <v>91</v>
      </c>
    </row>
    <row r="24" spans="1:3" x14ac:dyDescent="0.25">
      <c r="A24" s="10" t="s">
        <v>88</v>
      </c>
    </row>
    <row r="25" spans="1:3" x14ac:dyDescent="0.25">
      <c r="A25" s="10" t="s">
        <v>89</v>
      </c>
    </row>
    <row r="26" spans="1:3" x14ac:dyDescent="0.25">
      <c r="A26" s="10" t="s">
        <v>90</v>
      </c>
    </row>
    <row r="27" spans="1:3" x14ac:dyDescent="0.25">
      <c r="A27" s="10" t="s">
        <v>110</v>
      </c>
    </row>
    <row r="29" spans="1:3" x14ac:dyDescent="0.25">
      <c r="A29" s="9" t="s">
        <v>97</v>
      </c>
      <c r="C29" s="1" t="s">
        <v>788</v>
      </c>
    </row>
    <row r="30" spans="1:3" x14ac:dyDescent="0.25">
      <c r="A30" s="10" t="s">
        <v>92</v>
      </c>
      <c r="C30" s="11" t="str">
        <f>VLOOKUP(C29,TCapes[],2)</f>
        <v>2 - Carga horária mínima de ensino à alocar = 12</v>
      </c>
    </row>
    <row r="31" spans="1:3" x14ac:dyDescent="0.25">
      <c r="A31" s="10" t="s">
        <v>93</v>
      </c>
    </row>
    <row r="32" spans="1:3" x14ac:dyDescent="0.25">
      <c r="A32" s="10" t="s">
        <v>94</v>
      </c>
    </row>
    <row r="33" spans="1:3" x14ac:dyDescent="0.25">
      <c r="A33" s="10" t="s">
        <v>95</v>
      </c>
    </row>
    <row r="34" spans="1:3" x14ac:dyDescent="0.25">
      <c r="A34" s="10" t="s">
        <v>96</v>
      </c>
    </row>
    <row r="37" spans="1:3" x14ac:dyDescent="0.25">
      <c r="A37" s="12" t="s">
        <v>98</v>
      </c>
      <c r="B37" s="13" t="s">
        <v>111</v>
      </c>
      <c r="C37" s="13" t="s">
        <v>112</v>
      </c>
    </row>
    <row r="38" spans="1:3" ht="45" x14ac:dyDescent="0.25">
      <c r="A38" s="1" t="s">
        <v>787</v>
      </c>
      <c r="B38" s="14" t="s">
        <v>785</v>
      </c>
      <c r="C38" s="1">
        <v>8</v>
      </c>
    </row>
    <row r="39" spans="1:3" ht="30" x14ac:dyDescent="0.25">
      <c r="A39" s="1" t="s">
        <v>788</v>
      </c>
      <c r="B39" s="14" t="s">
        <v>786</v>
      </c>
      <c r="C39" s="1">
        <v>12</v>
      </c>
    </row>
    <row r="43" spans="1:3" x14ac:dyDescent="0.25">
      <c r="A43" s="15" t="s">
        <v>99</v>
      </c>
      <c r="B43" s="15" t="s">
        <v>100</v>
      </c>
      <c r="C43" s="15" t="s">
        <v>782</v>
      </c>
    </row>
    <row r="44" spans="1:3" x14ac:dyDescent="0.25">
      <c r="A44" s="15" t="s">
        <v>823</v>
      </c>
      <c r="B44" s="15">
        <v>40</v>
      </c>
      <c r="C44" s="15">
        <v>0</v>
      </c>
    </row>
    <row r="45" spans="1:3" x14ac:dyDescent="0.25">
      <c r="A45" s="15" t="s">
        <v>820</v>
      </c>
      <c r="B45" s="15">
        <v>40</v>
      </c>
      <c r="C45" s="15">
        <v>0</v>
      </c>
    </row>
    <row r="46" spans="1:3" x14ac:dyDescent="0.25">
      <c r="A46" s="15" t="s">
        <v>821</v>
      </c>
      <c r="B46" s="15">
        <v>40</v>
      </c>
      <c r="C46" s="15">
        <v>0</v>
      </c>
    </row>
    <row r="47" spans="1:3" x14ac:dyDescent="0.25">
      <c r="A47" s="15" t="s">
        <v>106</v>
      </c>
      <c r="B47" s="15">
        <v>40</v>
      </c>
      <c r="C47" s="15">
        <v>0</v>
      </c>
    </row>
    <row r="48" spans="1:3" x14ac:dyDescent="0.25">
      <c r="A48" s="15" t="s">
        <v>63</v>
      </c>
      <c r="B48" s="15">
        <v>40</v>
      </c>
      <c r="C48" s="15">
        <v>0</v>
      </c>
    </row>
    <row r="49" spans="1:3" x14ac:dyDescent="0.25">
      <c r="A49" s="15" t="s">
        <v>64</v>
      </c>
      <c r="B49" s="15">
        <v>40</v>
      </c>
      <c r="C49" s="15">
        <v>0</v>
      </c>
    </row>
    <row r="50" spans="1:3" x14ac:dyDescent="0.25">
      <c r="A50" s="15" t="s">
        <v>65</v>
      </c>
      <c r="B50" s="15">
        <v>40</v>
      </c>
      <c r="C50" s="15">
        <v>0</v>
      </c>
    </row>
    <row r="51" spans="1:3" x14ac:dyDescent="0.25">
      <c r="A51" s="15" t="s">
        <v>822</v>
      </c>
      <c r="B51" s="15">
        <v>40</v>
      </c>
      <c r="C51" s="15">
        <v>0</v>
      </c>
    </row>
    <row r="52" spans="1:3" x14ac:dyDescent="0.25">
      <c r="A52" s="15" t="s">
        <v>799</v>
      </c>
      <c r="B52" s="15">
        <v>40</v>
      </c>
      <c r="C52" s="15">
        <v>0</v>
      </c>
    </row>
    <row r="53" spans="1:3" x14ac:dyDescent="0.25">
      <c r="A53" s="15" t="s">
        <v>800</v>
      </c>
      <c r="B53" s="15">
        <v>20</v>
      </c>
      <c r="C53" s="15">
        <v>20</v>
      </c>
    </row>
    <row r="54" spans="1:3" x14ac:dyDescent="0.25">
      <c r="A54" s="15" t="s">
        <v>801</v>
      </c>
      <c r="B54" s="15">
        <v>32</v>
      </c>
      <c r="C54" s="15">
        <v>8</v>
      </c>
    </row>
    <row r="55" spans="1:3" x14ac:dyDescent="0.25">
      <c r="A55" s="15" t="s">
        <v>824</v>
      </c>
      <c r="B55" s="15">
        <v>32</v>
      </c>
      <c r="C55" s="16">
        <v>4</v>
      </c>
    </row>
    <row r="56" spans="1:3" x14ac:dyDescent="0.25">
      <c r="A56" s="15" t="s">
        <v>825</v>
      </c>
      <c r="B56" s="15">
        <v>20</v>
      </c>
      <c r="C56" s="15">
        <v>20</v>
      </c>
    </row>
    <row r="57" spans="1:3" x14ac:dyDescent="0.25">
      <c r="A57" s="15" t="s">
        <v>802</v>
      </c>
      <c r="B57" s="15">
        <v>20</v>
      </c>
      <c r="C57" s="15">
        <v>20</v>
      </c>
    </row>
    <row r="58" spans="1:3" x14ac:dyDescent="0.25">
      <c r="A58" s="15" t="s">
        <v>803</v>
      </c>
      <c r="B58" s="15">
        <v>5</v>
      </c>
      <c r="C58" s="15">
        <v>35</v>
      </c>
    </row>
    <row r="59" spans="1:3" x14ac:dyDescent="0.25">
      <c r="A59" s="15" t="s">
        <v>804</v>
      </c>
      <c r="B59" s="15">
        <v>5</v>
      </c>
      <c r="C59" s="15">
        <v>35</v>
      </c>
    </row>
    <row r="60" spans="1:3" x14ac:dyDescent="0.25">
      <c r="A60" s="15" t="s">
        <v>805</v>
      </c>
      <c r="B60" s="15">
        <v>5</v>
      </c>
      <c r="C60" s="15">
        <v>35</v>
      </c>
    </row>
    <row r="61" spans="1:3" x14ac:dyDescent="0.25">
      <c r="A61" s="15" t="s">
        <v>806</v>
      </c>
      <c r="B61" s="15">
        <v>10</v>
      </c>
      <c r="C61" s="15">
        <v>30</v>
      </c>
    </row>
    <row r="62" spans="1:3" x14ac:dyDescent="0.25">
      <c r="A62" s="15" t="s">
        <v>807</v>
      </c>
      <c r="B62" s="15">
        <v>5</v>
      </c>
      <c r="C62" s="15">
        <v>35</v>
      </c>
    </row>
    <row r="63" spans="1:3" x14ac:dyDescent="0.25">
      <c r="A63" s="15" t="s">
        <v>808</v>
      </c>
      <c r="B63" s="15">
        <v>4</v>
      </c>
      <c r="C63" s="15">
        <v>36</v>
      </c>
    </row>
    <row r="64" spans="1:3" x14ac:dyDescent="0.25">
      <c r="A64" s="15" t="s">
        <v>809</v>
      </c>
      <c r="B64" s="15">
        <v>2</v>
      </c>
      <c r="C64" s="15">
        <v>38</v>
      </c>
    </row>
    <row r="65" spans="1:3" x14ac:dyDescent="0.25">
      <c r="A65" s="15" t="s">
        <v>810</v>
      </c>
      <c r="B65" s="15">
        <v>1</v>
      </c>
      <c r="C65" s="15">
        <v>39</v>
      </c>
    </row>
    <row r="66" spans="1:3" x14ac:dyDescent="0.25">
      <c r="A66" s="15" t="s">
        <v>811</v>
      </c>
      <c r="B66" s="15">
        <v>2</v>
      </c>
      <c r="C66" s="15">
        <v>38</v>
      </c>
    </row>
    <row r="67" spans="1:3" x14ac:dyDescent="0.25">
      <c r="A67" s="15" t="s">
        <v>812</v>
      </c>
      <c r="B67" s="15">
        <v>4</v>
      </c>
      <c r="C67" s="15">
        <v>36</v>
      </c>
    </row>
    <row r="68" spans="1:3" x14ac:dyDescent="0.25">
      <c r="A68" s="15" t="s">
        <v>813</v>
      </c>
      <c r="B68" s="15">
        <v>10</v>
      </c>
      <c r="C68" s="15">
        <v>30</v>
      </c>
    </row>
    <row r="69" spans="1:3" x14ac:dyDescent="0.25">
      <c r="A69" s="15" t="s">
        <v>814</v>
      </c>
      <c r="B69" s="15">
        <v>4</v>
      </c>
      <c r="C69" s="15">
        <v>36</v>
      </c>
    </row>
    <row r="70" spans="1:3" x14ac:dyDescent="0.25">
      <c r="A70" s="15" t="s">
        <v>815</v>
      </c>
      <c r="B70" s="15">
        <v>4</v>
      </c>
      <c r="C70" s="15">
        <v>36</v>
      </c>
    </row>
    <row r="71" spans="1:3" x14ac:dyDescent="0.25">
      <c r="A71" s="15" t="s">
        <v>779</v>
      </c>
      <c r="B71" s="15">
        <v>15</v>
      </c>
      <c r="C71" s="15">
        <v>25</v>
      </c>
    </row>
    <row r="72" spans="1:3" x14ac:dyDescent="0.25">
      <c r="A72" s="15" t="s">
        <v>780</v>
      </c>
      <c r="B72" s="15">
        <v>20</v>
      </c>
      <c r="C72" s="15">
        <v>20</v>
      </c>
    </row>
    <row r="73" spans="1:3" x14ac:dyDescent="0.25">
      <c r="A73" s="15" t="s">
        <v>781</v>
      </c>
      <c r="B73" s="15">
        <v>30</v>
      </c>
      <c r="C73" s="15">
        <v>10</v>
      </c>
    </row>
    <row r="74" spans="1:3" x14ac:dyDescent="0.25">
      <c r="A74" s="15" t="s">
        <v>816</v>
      </c>
      <c r="B74" s="15">
        <v>3</v>
      </c>
      <c r="C74" s="15">
        <v>37</v>
      </c>
    </row>
    <row r="75" spans="1:3" x14ac:dyDescent="0.25">
      <c r="A75" s="15" t="s">
        <v>778</v>
      </c>
      <c r="B75" s="15">
        <v>0</v>
      </c>
      <c r="C75" s="15">
        <v>40</v>
      </c>
    </row>
    <row r="76" spans="1:3" x14ac:dyDescent="0.25">
      <c r="A76" s="15" t="s">
        <v>817</v>
      </c>
      <c r="B76" s="15">
        <v>3</v>
      </c>
      <c r="C76" s="15">
        <v>37</v>
      </c>
    </row>
    <row r="77" spans="1:3" x14ac:dyDescent="0.25">
      <c r="A77" s="15" t="s">
        <v>818</v>
      </c>
      <c r="B77" s="15">
        <v>2</v>
      </c>
      <c r="C77" s="15">
        <v>38</v>
      </c>
    </row>
    <row r="78" spans="1:3" x14ac:dyDescent="0.25">
      <c r="A78" s="15" t="s">
        <v>819</v>
      </c>
      <c r="B78" s="15">
        <v>20</v>
      </c>
      <c r="C78" s="15">
        <v>20</v>
      </c>
    </row>
    <row r="84" spans="1:4" x14ac:dyDescent="0.25">
      <c r="A84" s="1" t="s">
        <v>114</v>
      </c>
      <c r="B84" s="1" t="s">
        <v>118</v>
      </c>
      <c r="C84" s="1" t="s">
        <v>120</v>
      </c>
      <c r="D84" s="17" t="s">
        <v>119</v>
      </c>
    </row>
    <row r="85" spans="1:4" x14ac:dyDescent="0.25">
      <c r="A85" s="1" t="s">
        <v>113</v>
      </c>
      <c r="B85" s="1">
        <v>0</v>
      </c>
      <c r="C85" s="17">
        <v>3</v>
      </c>
    </row>
    <row r="86" spans="1:4" x14ac:dyDescent="0.25">
      <c r="A86" s="1" t="s">
        <v>115</v>
      </c>
      <c r="B86" s="1">
        <v>0</v>
      </c>
      <c r="C86" s="17">
        <v>2</v>
      </c>
    </row>
    <row r="87" spans="1:4" x14ac:dyDescent="0.25">
      <c r="A87" s="1" t="s">
        <v>828</v>
      </c>
      <c r="B87" s="1">
        <v>0</v>
      </c>
      <c r="C87" s="17">
        <v>1</v>
      </c>
    </row>
    <row r="88" spans="1:4" x14ac:dyDescent="0.25">
      <c r="A88" s="1" t="s">
        <v>116</v>
      </c>
      <c r="B88" s="1">
        <v>0</v>
      </c>
      <c r="C88" s="17">
        <v>1</v>
      </c>
    </row>
    <row r="89" spans="1:4" x14ac:dyDescent="0.25">
      <c r="A89" s="1" t="s">
        <v>117</v>
      </c>
      <c r="B89" s="1">
        <v>0</v>
      </c>
      <c r="C89" s="17">
        <v>1</v>
      </c>
      <c r="D89" s="1">
        <v>5</v>
      </c>
    </row>
    <row r="90" spans="1:4" x14ac:dyDescent="0.25">
      <c r="A90" s="1" t="s">
        <v>121</v>
      </c>
      <c r="D90" s="1">
        <v>12</v>
      </c>
    </row>
    <row r="94" spans="1:4" x14ac:dyDescent="0.25">
      <c r="A94" s="1" t="s">
        <v>765</v>
      </c>
      <c r="B94" s="1" t="s">
        <v>766</v>
      </c>
      <c r="C94" s="1" t="s">
        <v>772</v>
      </c>
    </row>
    <row r="95" spans="1:4" x14ac:dyDescent="0.25">
      <c r="A95" s="1" t="s">
        <v>773</v>
      </c>
      <c r="B95" s="1" t="s">
        <v>767</v>
      </c>
      <c r="C95" s="1">
        <f>20*1</f>
        <v>20</v>
      </c>
    </row>
    <row r="96" spans="1:4" x14ac:dyDescent="0.25">
      <c r="A96" s="1" t="s">
        <v>774</v>
      </c>
      <c r="B96" s="1" t="s">
        <v>768</v>
      </c>
      <c r="C96" s="1">
        <v>16</v>
      </c>
    </row>
    <row r="97" spans="1:3" x14ac:dyDescent="0.25">
      <c r="A97" s="1" t="s">
        <v>775</v>
      </c>
      <c r="B97" s="1" t="s">
        <v>769</v>
      </c>
      <c r="C97" s="1">
        <v>14</v>
      </c>
    </row>
    <row r="98" spans="1:3" x14ac:dyDescent="0.25">
      <c r="A98" s="1" t="s">
        <v>776</v>
      </c>
      <c r="B98" s="1" t="s">
        <v>770</v>
      </c>
      <c r="C98" s="1">
        <v>10</v>
      </c>
    </row>
    <row r="99" spans="1:3" x14ac:dyDescent="0.25">
      <c r="A99" s="1" t="s">
        <v>777</v>
      </c>
      <c r="B99" s="1" t="s">
        <v>771</v>
      </c>
      <c r="C99" s="1">
        <v>6</v>
      </c>
    </row>
    <row r="102" spans="1:3" x14ac:dyDescent="0.25">
      <c r="A102" s="1" t="s">
        <v>789</v>
      </c>
      <c r="B102" s="1" t="s">
        <v>118</v>
      </c>
      <c r="C102" s="1" t="s">
        <v>790</v>
      </c>
    </row>
    <row r="103" spans="1:3" x14ac:dyDescent="0.25">
      <c r="A103" s="1" t="s">
        <v>791</v>
      </c>
      <c r="B103" s="1">
        <v>0</v>
      </c>
      <c r="C103" s="1">
        <v>6</v>
      </c>
    </row>
    <row r="104" spans="1:3" x14ac:dyDescent="0.25">
      <c r="A104" s="1" t="s">
        <v>793</v>
      </c>
      <c r="B104" s="1">
        <v>0</v>
      </c>
      <c r="C104" s="1">
        <v>2</v>
      </c>
    </row>
    <row r="107" spans="1:3" x14ac:dyDescent="0.25">
      <c r="A107" s="1" t="s">
        <v>32</v>
      </c>
      <c r="B107" s="1" t="s">
        <v>118</v>
      </c>
      <c r="C107" s="1" t="s">
        <v>790</v>
      </c>
    </row>
    <row r="108" spans="1:3" x14ac:dyDescent="0.25">
      <c r="A108" s="1" t="s">
        <v>791</v>
      </c>
      <c r="B108" s="1">
        <v>0</v>
      </c>
      <c r="C108" s="1">
        <v>4</v>
      </c>
    </row>
    <row r="109" spans="1:3" x14ac:dyDescent="0.25">
      <c r="A109" s="1" t="s">
        <v>793</v>
      </c>
      <c r="B109" s="1">
        <v>0</v>
      </c>
      <c r="C109" s="1">
        <v>2</v>
      </c>
    </row>
    <row r="112" spans="1:3" x14ac:dyDescent="0.25">
      <c r="A112" s="1" t="s">
        <v>61</v>
      </c>
      <c r="B112" s="1" t="s">
        <v>118</v>
      </c>
      <c r="C112" s="1" t="s">
        <v>790</v>
      </c>
    </row>
    <row r="113" spans="1:3" x14ac:dyDescent="0.25">
      <c r="A113" s="1" t="s">
        <v>794</v>
      </c>
      <c r="B113" s="1">
        <v>0</v>
      </c>
      <c r="C113" s="1">
        <v>12</v>
      </c>
    </row>
    <row r="114" spans="1:3" x14ac:dyDescent="0.25">
      <c r="A114" s="1" t="s">
        <v>795</v>
      </c>
      <c r="B114" s="1">
        <v>0</v>
      </c>
      <c r="C114" s="1">
        <v>4</v>
      </c>
    </row>
    <row r="115" spans="1:3" x14ac:dyDescent="0.25">
      <c r="A115" s="1" t="s">
        <v>796</v>
      </c>
      <c r="B115" s="1">
        <v>0</v>
      </c>
      <c r="C115" s="1">
        <v>2</v>
      </c>
    </row>
    <row r="116" spans="1:3" x14ac:dyDescent="0.25">
      <c r="A116" s="1" t="s">
        <v>797</v>
      </c>
      <c r="B116" s="1">
        <v>0</v>
      </c>
      <c r="C116" s="1">
        <v>4</v>
      </c>
    </row>
    <row r="117" spans="1:3" x14ac:dyDescent="0.25">
      <c r="A117" s="1" t="s">
        <v>798</v>
      </c>
    </row>
  </sheetData>
  <sheetProtection algorithmName="SHA-512" hashValue="O2Fce+LGnApAvDABUdDp1gA+s1F+tQFS5U40EBeH3maEjg/YR1MiFu2u+HHUJQS5G1FtO/NOMzwsC+3H1bfybQ==" saltValue="cmY4cJnQAc4Vv0NNFD0SnQ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r:id="rId1"/>
  <legacy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B153D-9E54-4409-A817-CEA78DB9B346}">
  <dimension ref="A1:E436"/>
  <sheetViews>
    <sheetView showGridLines="0" workbookViewId="0">
      <selection activeCell="B24" sqref="B24"/>
    </sheetView>
  </sheetViews>
  <sheetFormatPr defaultRowHeight="15" x14ac:dyDescent="0.25"/>
  <cols>
    <col min="1" max="1" width="88.85546875" style="1" bestFit="1" customWidth="1"/>
    <col min="2" max="2" width="43.85546875" style="1" bestFit="1" customWidth="1"/>
    <col min="3" max="3" width="8.5703125" style="1" bestFit="1" customWidth="1"/>
    <col min="4" max="16384" width="9.140625" style="1"/>
  </cols>
  <sheetData>
    <row r="1" spans="1:5" x14ac:dyDescent="0.25">
      <c r="A1" s="1" t="s">
        <v>124</v>
      </c>
      <c r="B1" s="1" t="s">
        <v>1</v>
      </c>
      <c r="C1" s="1" t="s">
        <v>123</v>
      </c>
      <c r="E1" s="1" t="s">
        <v>892</v>
      </c>
    </row>
    <row r="2" spans="1:5" x14ac:dyDescent="0.25">
      <c r="A2" s="1" t="s">
        <v>355</v>
      </c>
      <c r="B2" s="1" t="s">
        <v>81</v>
      </c>
      <c r="C2" s="17" t="s">
        <v>377</v>
      </c>
    </row>
    <row r="3" spans="1:5" x14ac:dyDescent="0.25">
      <c r="A3" s="1" t="s">
        <v>214</v>
      </c>
      <c r="B3" s="1" t="s">
        <v>78</v>
      </c>
      <c r="C3" s="17" t="s">
        <v>386</v>
      </c>
    </row>
    <row r="4" spans="1:5" x14ac:dyDescent="0.25">
      <c r="A4" s="1" t="s">
        <v>280</v>
      </c>
      <c r="B4" s="1" t="s">
        <v>80</v>
      </c>
      <c r="C4" s="17" t="s">
        <v>377</v>
      </c>
    </row>
    <row r="5" spans="1:5" x14ac:dyDescent="0.25">
      <c r="A5" s="1" t="s">
        <v>358</v>
      </c>
      <c r="B5" s="1" t="s">
        <v>81</v>
      </c>
      <c r="C5" s="17" t="s">
        <v>377</v>
      </c>
    </row>
    <row r="6" spans="1:5" x14ac:dyDescent="0.25">
      <c r="A6" s="1" t="s">
        <v>879</v>
      </c>
      <c r="B6" s="1" t="s">
        <v>78</v>
      </c>
      <c r="C6" s="17" t="s">
        <v>377</v>
      </c>
    </row>
    <row r="7" spans="1:5" x14ac:dyDescent="0.25">
      <c r="A7" s="1" t="s">
        <v>878</v>
      </c>
      <c r="B7" s="1" t="s">
        <v>80</v>
      </c>
      <c r="C7" s="17" t="s">
        <v>377</v>
      </c>
    </row>
    <row r="8" spans="1:5" x14ac:dyDescent="0.25">
      <c r="A8" s="1" t="s">
        <v>218</v>
      </c>
      <c r="B8" s="1" t="s">
        <v>78</v>
      </c>
      <c r="C8" s="17" t="s">
        <v>377</v>
      </c>
    </row>
    <row r="9" spans="1:5" x14ac:dyDescent="0.25">
      <c r="A9" s="1" t="s">
        <v>219</v>
      </c>
      <c r="B9" s="1" t="s">
        <v>78</v>
      </c>
      <c r="C9" s="17" t="s">
        <v>377</v>
      </c>
    </row>
    <row r="10" spans="1:5" x14ac:dyDescent="0.25">
      <c r="A10" s="1" t="s">
        <v>281</v>
      </c>
      <c r="B10" s="1" t="s">
        <v>80</v>
      </c>
      <c r="C10" s="17" t="s">
        <v>377</v>
      </c>
    </row>
    <row r="11" spans="1:5" x14ac:dyDescent="0.25">
      <c r="A11" s="1" t="s">
        <v>880</v>
      </c>
      <c r="B11" s="1" t="s">
        <v>78</v>
      </c>
      <c r="C11" s="17" t="s">
        <v>377</v>
      </c>
    </row>
    <row r="12" spans="1:5" x14ac:dyDescent="0.25">
      <c r="A12" s="1" t="s">
        <v>881</v>
      </c>
      <c r="B12" s="1" t="s">
        <v>80</v>
      </c>
      <c r="C12" s="17" t="s">
        <v>377</v>
      </c>
    </row>
    <row r="13" spans="1:5" x14ac:dyDescent="0.25">
      <c r="A13" s="1" t="s">
        <v>282</v>
      </c>
      <c r="B13" s="1" t="s">
        <v>80</v>
      </c>
      <c r="C13" s="17" t="s">
        <v>377</v>
      </c>
    </row>
    <row r="14" spans="1:5" x14ac:dyDescent="0.25">
      <c r="A14" s="1" t="s">
        <v>125</v>
      </c>
      <c r="B14" s="1" t="s">
        <v>79</v>
      </c>
      <c r="C14" s="17" t="s">
        <v>378</v>
      </c>
    </row>
    <row r="15" spans="1:5" x14ac:dyDescent="0.25">
      <c r="A15" s="1" t="s">
        <v>883</v>
      </c>
      <c r="B15" s="1" t="s">
        <v>78</v>
      </c>
      <c r="C15" s="17" t="s">
        <v>383</v>
      </c>
    </row>
    <row r="16" spans="1:5" x14ac:dyDescent="0.25">
      <c r="A16" s="1" t="s">
        <v>882</v>
      </c>
      <c r="B16" s="1" t="s">
        <v>81</v>
      </c>
      <c r="C16" s="17" t="s">
        <v>382</v>
      </c>
    </row>
    <row r="17" spans="1:3" x14ac:dyDescent="0.25">
      <c r="A17" s="1" t="s">
        <v>356</v>
      </c>
      <c r="B17" s="1" t="s">
        <v>81</v>
      </c>
      <c r="C17" s="17" t="s">
        <v>377</v>
      </c>
    </row>
    <row r="18" spans="1:3" x14ac:dyDescent="0.25">
      <c r="A18" s="1" t="s">
        <v>162</v>
      </c>
      <c r="B18" s="1" t="s">
        <v>79</v>
      </c>
      <c r="C18" s="17" t="s">
        <v>385</v>
      </c>
    </row>
    <row r="19" spans="1:3" x14ac:dyDescent="0.25">
      <c r="A19" s="1" t="s">
        <v>884</v>
      </c>
      <c r="B19" s="1" t="s">
        <v>78</v>
      </c>
      <c r="C19" s="17" t="s">
        <v>377</v>
      </c>
    </row>
    <row r="20" spans="1:3" x14ac:dyDescent="0.25">
      <c r="A20" s="1" t="s">
        <v>885</v>
      </c>
      <c r="B20" s="1" t="s">
        <v>80</v>
      </c>
      <c r="C20" s="17" t="s">
        <v>377</v>
      </c>
    </row>
    <row r="21" spans="1:3" x14ac:dyDescent="0.25">
      <c r="A21" s="1" t="s">
        <v>283</v>
      </c>
      <c r="B21" s="1" t="s">
        <v>80</v>
      </c>
      <c r="C21" s="17" t="s">
        <v>377</v>
      </c>
    </row>
    <row r="22" spans="1:3" x14ac:dyDescent="0.25">
      <c r="A22" s="1" t="s">
        <v>149</v>
      </c>
      <c r="B22" s="1" t="s">
        <v>79</v>
      </c>
      <c r="C22" s="17" t="s">
        <v>383</v>
      </c>
    </row>
    <row r="23" spans="1:3" x14ac:dyDescent="0.25">
      <c r="A23" s="1" t="s">
        <v>357</v>
      </c>
      <c r="B23" s="1" t="s">
        <v>81</v>
      </c>
      <c r="C23" s="17" t="s">
        <v>377</v>
      </c>
    </row>
    <row r="24" spans="1:3" x14ac:dyDescent="0.25">
      <c r="A24" s="1" t="s">
        <v>185</v>
      </c>
      <c r="B24" s="1" t="s">
        <v>78</v>
      </c>
      <c r="C24" s="17" t="s">
        <v>379</v>
      </c>
    </row>
    <row r="25" spans="1:3" x14ac:dyDescent="0.25">
      <c r="A25" s="1" t="s">
        <v>244</v>
      </c>
      <c r="B25" s="1" t="s">
        <v>80</v>
      </c>
      <c r="C25" s="17" t="s">
        <v>380</v>
      </c>
    </row>
    <row r="26" spans="1:3" x14ac:dyDescent="0.25">
      <c r="A26" s="1" t="s">
        <v>312</v>
      </c>
      <c r="B26" s="1" t="s">
        <v>81</v>
      </c>
      <c r="C26" s="17" t="s">
        <v>378</v>
      </c>
    </row>
    <row r="27" spans="1:3" x14ac:dyDescent="0.25">
      <c r="A27" s="1" t="s">
        <v>316</v>
      </c>
      <c r="B27" s="1" t="s">
        <v>81</v>
      </c>
      <c r="C27" s="17" t="s">
        <v>379</v>
      </c>
    </row>
    <row r="28" spans="1:3" x14ac:dyDescent="0.25">
      <c r="A28" s="1" t="s">
        <v>321</v>
      </c>
      <c r="B28" s="1" t="s">
        <v>81</v>
      </c>
      <c r="C28" s="17" t="s">
        <v>380</v>
      </c>
    </row>
    <row r="29" spans="1:3" x14ac:dyDescent="0.25">
      <c r="A29" s="1" t="s">
        <v>342</v>
      </c>
      <c r="B29" s="1" t="s">
        <v>81</v>
      </c>
      <c r="C29" s="17" t="s">
        <v>384</v>
      </c>
    </row>
    <row r="30" spans="1:3" x14ac:dyDescent="0.25">
      <c r="A30" s="1" t="s">
        <v>359</v>
      </c>
      <c r="B30" s="1" t="s">
        <v>81</v>
      </c>
      <c r="C30" s="17" t="s">
        <v>377</v>
      </c>
    </row>
    <row r="31" spans="1:3" x14ac:dyDescent="0.25">
      <c r="A31" s="1" t="s">
        <v>628</v>
      </c>
      <c r="B31" s="1" t="s">
        <v>78</v>
      </c>
      <c r="C31" s="17" t="s">
        <v>377</v>
      </c>
    </row>
    <row r="32" spans="1:3" x14ac:dyDescent="0.25">
      <c r="A32" s="1" t="s">
        <v>629</v>
      </c>
      <c r="B32" s="1" t="s">
        <v>80</v>
      </c>
      <c r="C32" s="17" t="s">
        <v>377</v>
      </c>
    </row>
    <row r="33" spans="1:3" x14ac:dyDescent="0.25">
      <c r="A33" s="1" t="s">
        <v>630</v>
      </c>
      <c r="B33" s="1" t="s">
        <v>81</v>
      </c>
      <c r="C33" s="17" t="s">
        <v>377</v>
      </c>
    </row>
    <row r="34" spans="1:3" x14ac:dyDescent="0.25">
      <c r="A34" s="1" t="s">
        <v>631</v>
      </c>
      <c r="B34" s="1" t="s">
        <v>78</v>
      </c>
      <c r="C34" s="17" t="s">
        <v>377</v>
      </c>
    </row>
    <row r="35" spans="1:3" x14ac:dyDescent="0.25">
      <c r="A35" s="1" t="s">
        <v>632</v>
      </c>
      <c r="B35" s="1" t="s">
        <v>80</v>
      </c>
      <c r="C35" s="17" t="s">
        <v>377</v>
      </c>
    </row>
    <row r="36" spans="1:3" x14ac:dyDescent="0.25">
      <c r="A36" s="1" t="s">
        <v>633</v>
      </c>
      <c r="B36" s="1" t="s">
        <v>81</v>
      </c>
      <c r="C36" s="17" t="s">
        <v>377</v>
      </c>
    </row>
    <row r="37" spans="1:3" x14ac:dyDescent="0.25">
      <c r="A37" s="1" t="s">
        <v>284</v>
      </c>
      <c r="B37" s="1" t="s">
        <v>80</v>
      </c>
      <c r="C37" s="17" t="s">
        <v>377</v>
      </c>
    </row>
    <row r="38" spans="1:3" x14ac:dyDescent="0.25">
      <c r="A38" s="1" t="s">
        <v>833</v>
      </c>
      <c r="B38" s="1" t="s">
        <v>78</v>
      </c>
      <c r="C38" s="17" t="s">
        <v>377</v>
      </c>
    </row>
    <row r="39" spans="1:3" x14ac:dyDescent="0.25">
      <c r="A39" s="1" t="s">
        <v>886</v>
      </c>
      <c r="B39" s="1" t="s">
        <v>79</v>
      </c>
      <c r="C39" s="17" t="s">
        <v>386</v>
      </c>
    </row>
    <row r="40" spans="1:3" x14ac:dyDescent="0.25">
      <c r="A40" s="1" t="s">
        <v>285</v>
      </c>
      <c r="B40" s="1" t="s">
        <v>80</v>
      </c>
      <c r="C40" s="17" t="s">
        <v>377</v>
      </c>
    </row>
    <row r="41" spans="1:3" x14ac:dyDescent="0.25">
      <c r="A41" s="1" t="s">
        <v>887</v>
      </c>
      <c r="B41" s="1" t="s">
        <v>78</v>
      </c>
      <c r="C41" s="17" t="s">
        <v>384</v>
      </c>
    </row>
    <row r="42" spans="1:3" x14ac:dyDescent="0.25">
      <c r="A42" s="1" t="s">
        <v>888</v>
      </c>
      <c r="B42" s="1" t="s">
        <v>80</v>
      </c>
      <c r="C42" s="17" t="s">
        <v>384</v>
      </c>
    </row>
    <row r="43" spans="1:3" x14ac:dyDescent="0.25">
      <c r="A43" s="1" t="s">
        <v>276</v>
      </c>
      <c r="B43" s="1" t="s">
        <v>80</v>
      </c>
      <c r="C43" s="17" t="s">
        <v>386</v>
      </c>
    </row>
    <row r="44" spans="1:3" x14ac:dyDescent="0.25">
      <c r="A44" s="1" t="s">
        <v>634</v>
      </c>
      <c r="B44" s="1" t="s">
        <v>78</v>
      </c>
      <c r="C44" s="17" t="s">
        <v>385</v>
      </c>
    </row>
    <row r="45" spans="1:3" x14ac:dyDescent="0.25">
      <c r="A45" s="1" t="s">
        <v>635</v>
      </c>
      <c r="B45" s="1" t="s">
        <v>81</v>
      </c>
      <c r="C45" s="17" t="s">
        <v>385</v>
      </c>
    </row>
    <row r="46" spans="1:3" x14ac:dyDescent="0.25">
      <c r="A46" s="1" t="s">
        <v>834</v>
      </c>
      <c r="B46" s="1" t="s">
        <v>78</v>
      </c>
      <c r="C46" s="17" t="s">
        <v>377</v>
      </c>
    </row>
    <row r="47" spans="1:3" x14ac:dyDescent="0.25">
      <c r="A47" s="1" t="s">
        <v>855</v>
      </c>
      <c r="B47" s="1" t="s">
        <v>79</v>
      </c>
      <c r="C47" s="17" t="s">
        <v>376</v>
      </c>
    </row>
    <row r="48" spans="1:3" x14ac:dyDescent="0.25">
      <c r="A48" s="1" t="s">
        <v>286</v>
      </c>
      <c r="B48" s="1" t="s">
        <v>80</v>
      </c>
      <c r="C48" s="17" t="s">
        <v>377</v>
      </c>
    </row>
    <row r="49" spans="1:3" x14ac:dyDescent="0.25">
      <c r="A49" s="1" t="s">
        <v>287</v>
      </c>
      <c r="B49" s="1" t="s">
        <v>80</v>
      </c>
      <c r="C49" s="17" t="s">
        <v>377</v>
      </c>
    </row>
    <row r="50" spans="1:3" x14ac:dyDescent="0.25">
      <c r="A50" s="1" t="s">
        <v>191</v>
      </c>
      <c r="B50" s="1" t="s">
        <v>78</v>
      </c>
      <c r="C50" s="17" t="s">
        <v>382</v>
      </c>
    </row>
    <row r="51" spans="1:3" x14ac:dyDescent="0.25">
      <c r="A51" s="1" t="s">
        <v>205</v>
      </c>
      <c r="B51" s="1" t="s">
        <v>78</v>
      </c>
      <c r="C51" s="17" t="s">
        <v>384</v>
      </c>
    </row>
    <row r="52" spans="1:3" x14ac:dyDescent="0.25">
      <c r="A52" s="1" t="s">
        <v>126</v>
      </c>
      <c r="B52" s="1" t="s">
        <v>79</v>
      </c>
      <c r="C52" s="17" t="s">
        <v>378</v>
      </c>
    </row>
    <row r="53" spans="1:3" x14ac:dyDescent="0.25">
      <c r="A53" s="1" t="s">
        <v>636</v>
      </c>
      <c r="B53" s="1" t="s">
        <v>78</v>
      </c>
      <c r="C53" s="17" t="s">
        <v>377</v>
      </c>
    </row>
    <row r="54" spans="1:3" x14ac:dyDescent="0.25">
      <c r="A54" s="1" t="s">
        <v>637</v>
      </c>
      <c r="B54" s="1" t="s">
        <v>80</v>
      </c>
      <c r="C54" s="17" t="s">
        <v>377</v>
      </c>
    </row>
    <row r="55" spans="1:3" x14ac:dyDescent="0.25">
      <c r="A55" s="1" t="s">
        <v>638</v>
      </c>
      <c r="B55" s="1" t="s">
        <v>81</v>
      </c>
      <c r="C55" s="17" t="s">
        <v>377</v>
      </c>
    </row>
    <row r="56" spans="1:3" x14ac:dyDescent="0.25">
      <c r="A56" s="1" t="s">
        <v>173</v>
      </c>
      <c r="B56" s="1" t="s">
        <v>79</v>
      </c>
      <c r="C56" s="17" t="s">
        <v>376</v>
      </c>
    </row>
    <row r="57" spans="1:3" x14ac:dyDescent="0.25">
      <c r="A57" s="1" t="s">
        <v>762</v>
      </c>
      <c r="B57" s="1" t="s">
        <v>78</v>
      </c>
      <c r="C57" s="17" t="s">
        <v>380</v>
      </c>
    </row>
    <row r="58" spans="1:3" x14ac:dyDescent="0.25">
      <c r="A58" s="1" t="s">
        <v>639</v>
      </c>
      <c r="B58" s="1" t="s">
        <v>79</v>
      </c>
      <c r="C58" s="17" t="s">
        <v>381</v>
      </c>
    </row>
    <row r="59" spans="1:3" x14ac:dyDescent="0.25">
      <c r="A59" s="1" t="s">
        <v>640</v>
      </c>
      <c r="B59" s="1" t="s">
        <v>80</v>
      </c>
      <c r="C59" s="17" t="s">
        <v>380</v>
      </c>
    </row>
    <row r="60" spans="1:3" x14ac:dyDescent="0.25">
      <c r="A60" s="1" t="s">
        <v>313</v>
      </c>
      <c r="B60" s="1" t="s">
        <v>81</v>
      </c>
      <c r="C60" s="17" t="s">
        <v>378</v>
      </c>
    </row>
    <row r="61" spans="1:3" x14ac:dyDescent="0.25">
      <c r="A61" s="1" t="s">
        <v>317</v>
      </c>
      <c r="B61" s="1" t="s">
        <v>81</v>
      </c>
      <c r="C61" s="17" t="s">
        <v>379</v>
      </c>
    </row>
    <row r="62" spans="1:3" x14ac:dyDescent="0.25">
      <c r="A62" s="1" t="s">
        <v>871</v>
      </c>
      <c r="B62" s="1" t="s">
        <v>80</v>
      </c>
      <c r="C62" s="17" t="s">
        <v>377</v>
      </c>
    </row>
    <row r="63" spans="1:3" x14ac:dyDescent="0.25">
      <c r="A63" s="1" t="s">
        <v>641</v>
      </c>
      <c r="B63" s="1" t="s">
        <v>78</v>
      </c>
      <c r="C63" s="17" t="s">
        <v>379</v>
      </c>
    </row>
    <row r="64" spans="1:3" x14ac:dyDescent="0.25">
      <c r="A64" s="1" t="s">
        <v>642</v>
      </c>
      <c r="B64" s="1" t="s">
        <v>80</v>
      </c>
      <c r="C64" s="17" t="s">
        <v>379</v>
      </c>
    </row>
    <row r="65" spans="1:3" x14ac:dyDescent="0.25">
      <c r="A65" s="1" t="s">
        <v>643</v>
      </c>
      <c r="B65" s="1" t="s">
        <v>78</v>
      </c>
      <c r="C65" s="17" t="s">
        <v>384</v>
      </c>
    </row>
    <row r="66" spans="1:3" x14ac:dyDescent="0.25">
      <c r="A66" s="1" t="s">
        <v>644</v>
      </c>
      <c r="B66" s="1" t="s">
        <v>81</v>
      </c>
      <c r="C66" s="17" t="s">
        <v>384</v>
      </c>
    </row>
    <row r="67" spans="1:3" x14ac:dyDescent="0.25">
      <c r="A67" s="1" t="s">
        <v>645</v>
      </c>
      <c r="B67" s="1" t="s">
        <v>78</v>
      </c>
      <c r="C67" s="17" t="s">
        <v>386</v>
      </c>
    </row>
    <row r="68" spans="1:3" x14ac:dyDescent="0.25">
      <c r="A68" s="1" t="s">
        <v>646</v>
      </c>
      <c r="B68" s="1" t="s">
        <v>81</v>
      </c>
      <c r="C68" s="17" t="s">
        <v>385</v>
      </c>
    </row>
    <row r="69" spans="1:3" x14ac:dyDescent="0.25">
      <c r="A69" s="1" t="s">
        <v>241</v>
      </c>
      <c r="B69" s="1" t="s">
        <v>80</v>
      </c>
      <c r="C69" s="17" t="s">
        <v>379</v>
      </c>
    </row>
    <row r="70" spans="1:3" x14ac:dyDescent="0.25">
      <c r="A70" s="1" t="s">
        <v>186</v>
      </c>
      <c r="B70" s="1" t="s">
        <v>78</v>
      </c>
      <c r="C70" s="17" t="s">
        <v>379</v>
      </c>
    </row>
    <row r="71" spans="1:3" x14ac:dyDescent="0.25">
      <c r="A71" s="1" t="s">
        <v>127</v>
      </c>
      <c r="B71" s="1" t="s">
        <v>79</v>
      </c>
      <c r="C71" s="17" t="s">
        <v>378</v>
      </c>
    </row>
    <row r="72" spans="1:3" x14ac:dyDescent="0.25">
      <c r="A72" s="1" t="s">
        <v>130</v>
      </c>
      <c r="B72" s="1" t="s">
        <v>79</v>
      </c>
      <c r="C72" s="17" t="s">
        <v>379</v>
      </c>
    </row>
    <row r="73" spans="1:3" x14ac:dyDescent="0.25">
      <c r="A73" s="1" t="s">
        <v>135</v>
      </c>
      <c r="B73" s="1" t="s">
        <v>79</v>
      </c>
      <c r="C73" s="17" t="s">
        <v>380</v>
      </c>
    </row>
    <row r="74" spans="1:3" x14ac:dyDescent="0.25">
      <c r="A74" s="1" t="s">
        <v>360</v>
      </c>
      <c r="B74" s="1" t="s">
        <v>81</v>
      </c>
      <c r="C74" s="17" t="s">
        <v>377</v>
      </c>
    </row>
    <row r="75" spans="1:3" x14ac:dyDescent="0.25">
      <c r="A75" s="1" t="s">
        <v>288</v>
      </c>
      <c r="B75" s="1" t="s">
        <v>80</v>
      </c>
      <c r="C75" s="17" t="s">
        <v>377</v>
      </c>
    </row>
    <row r="76" spans="1:3" x14ac:dyDescent="0.25">
      <c r="A76" s="1" t="s">
        <v>647</v>
      </c>
      <c r="B76" s="1" t="s">
        <v>78</v>
      </c>
      <c r="C76" s="17" t="s">
        <v>380</v>
      </c>
    </row>
    <row r="77" spans="1:3" x14ac:dyDescent="0.25">
      <c r="A77" s="1" t="s">
        <v>648</v>
      </c>
      <c r="B77" s="1" t="s">
        <v>80</v>
      </c>
      <c r="C77" s="17" t="s">
        <v>379</v>
      </c>
    </row>
    <row r="78" spans="1:3" x14ac:dyDescent="0.25">
      <c r="A78" s="1" t="s">
        <v>856</v>
      </c>
      <c r="B78" s="1" t="s">
        <v>79</v>
      </c>
      <c r="C78" s="17" t="s">
        <v>376</v>
      </c>
    </row>
    <row r="79" spans="1:3" x14ac:dyDescent="0.25">
      <c r="A79" s="1" t="s">
        <v>361</v>
      </c>
      <c r="B79" s="1" t="s">
        <v>81</v>
      </c>
      <c r="C79" s="17" t="s">
        <v>377</v>
      </c>
    </row>
    <row r="80" spans="1:3" x14ac:dyDescent="0.25">
      <c r="A80" s="1" t="s">
        <v>362</v>
      </c>
      <c r="B80" s="1" t="s">
        <v>81</v>
      </c>
      <c r="C80" s="17" t="s">
        <v>377</v>
      </c>
    </row>
    <row r="81" spans="1:3" x14ac:dyDescent="0.25">
      <c r="A81" s="1" t="s">
        <v>289</v>
      </c>
      <c r="B81" s="1" t="s">
        <v>80</v>
      </c>
      <c r="C81" s="17" t="s">
        <v>377</v>
      </c>
    </row>
    <row r="82" spans="1:3" x14ac:dyDescent="0.25">
      <c r="A82" s="1" t="s">
        <v>343</v>
      </c>
      <c r="B82" s="1" t="s">
        <v>81</v>
      </c>
      <c r="C82" s="17" t="s">
        <v>384</v>
      </c>
    </row>
    <row r="83" spans="1:3" x14ac:dyDescent="0.25">
      <c r="A83" s="1" t="s">
        <v>349</v>
      </c>
      <c r="B83" s="1" t="s">
        <v>81</v>
      </c>
      <c r="C83" s="17" t="s">
        <v>386</v>
      </c>
    </row>
    <row r="84" spans="1:3" x14ac:dyDescent="0.25">
      <c r="A84" s="1" t="s">
        <v>347</v>
      </c>
      <c r="B84" s="1" t="s">
        <v>81</v>
      </c>
      <c r="C84" s="17" t="s">
        <v>385</v>
      </c>
    </row>
    <row r="85" spans="1:3" x14ac:dyDescent="0.25">
      <c r="A85" s="1" t="s">
        <v>337</v>
      </c>
      <c r="B85" s="1" t="s">
        <v>81</v>
      </c>
      <c r="C85" s="17" t="s">
        <v>383</v>
      </c>
    </row>
    <row r="86" spans="1:3" x14ac:dyDescent="0.25">
      <c r="A86" s="1" t="s">
        <v>265</v>
      </c>
      <c r="B86" s="1" t="s">
        <v>80</v>
      </c>
      <c r="C86" s="17" t="s">
        <v>384</v>
      </c>
    </row>
    <row r="87" spans="1:3" x14ac:dyDescent="0.25">
      <c r="A87" s="1" t="s">
        <v>206</v>
      </c>
      <c r="B87" s="1" t="s">
        <v>78</v>
      </c>
      <c r="C87" s="17" t="s">
        <v>384</v>
      </c>
    </row>
    <row r="88" spans="1:3" x14ac:dyDescent="0.25">
      <c r="A88" s="1" t="s">
        <v>649</v>
      </c>
      <c r="B88" s="1" t="s">
        <v>78</v>
      </c>
      <c r="C88" s="17" t="s">
        <v>377</v>
      </c>
    </row>
    <row r="89" spans="1:3" x14ac:dyDescent="0.25">
      <c r="A89" s="1" t="s">
        <v>650</v>
      </c>
      <c r="B89" s="1" t="s">
        <v>81</v>
      </c>
      <c r="C89" s="17" t="s">
        <v>377</v>
      </c>
    </row>
    <row r="90" spans="1:3" x14ac:dyDescent="0.25">
      <c r="A90" s="1" t="s">
        <v>651</v>
      </c>
      <c r="B90" s="1" t="s">
        <v>78</v>
      </c>
      <c r="C90" s="17" t="s">
        <v>377</v>
      </c>
    </row>
    <row r="91" spans="1:3" x14ac:dyDescent="0.25">
      <c r="A91" s="1" t="s">
        <v>652</v>
      </c>
      <c r="B91" s="1" t="s">
        <v>80</v>
      </c>
      <c r="C91" s="17" t="s">
        <v>377</v>
      </c>
    </row>
    <row r="92" spans="1:3" x14ac:dyDescent="0.25">
      <c r="A92" s="1" t="s">
        <v>653</v>
      </c>
      <c r="B92" s="1" t="s">
        <v>78</v>
      </c>
      <c r="C92" s="17" t="s">
        <v>385</v>
      </c>
    </row>
    <row r="93" spans="1:3" x14ac:dyDescent="0.25">
      <c r="A93" s="1" t="s">
        <v>654</v>
      </c>
      <c r="B93" s="1" t="s">
        <v>80</v>
      </c>
      <c r="C93" s="17" t="s">
        <v>385</v>
      </c>
    </row>
    <row r="94" spans="1:3" x14ac:dyDescent="0.25">
      <c r="A94" s="1" t="s">
        <v>655</v>
      </c>
      <c r="B94" s="1" t="s">
        <v>81</v>
      </c>
      <c r="C94" s="17" t="s">
        <v>382</v>
      </c>
    </row>
    <row r="95" spans="1:3" x14ac:dyDescent="0.25">
      <c r="A95" s="1" t="s">
        <v>835</v>
      </c>
      <c r="B95" s="1" t="s">
        <v>78</v>
      </c>
      <c r="C95" s="17" t="s">
        <v>377</v>
      </c>
    </row>
    <row r="96" spans="1:3" x14ac:dyDescent="0.25">
      <c r="A96" s="1" t="s">
        <v>266</v>
      </c>
      <c r="B96" s="1" t="s">
        <v>80</v>
      </c>
      <c r="C96" s="17" t="s">
        <v>384</v>
      </c>
    </row>
    <row r="97" spans="1:3" x14ac:dyDescent="0.25">
      <c r="A97" s="1" t="s">
        <v>198</v>
      </c>
      <c r="B97" s="1" t="s">
        <v>78</v>
      </c>
      <c r="C97" s="17" t="s">
        <v>383</v>
      </c>
    </row>
    <row r="98" spans="1:3" x14ac:dyDescent="0.25">
      <c r="A98" s="1" t="s">
        <v>174</v>
      </c>
      <c r="B98" s="1" t="s">
        <v>79</v>
      </c>
      <c r="C98" s="17" t="s">
        <v>376</v>
      </c>
    </row>
    <row r="99" spans="1:3" x14ac:dyDescent="0.25">
      <c r="A99" s="1" t="s">
        <v>220</v>
      </c>
      <c r="B99" s="1" t="s">
        <v>78</v>
      </c>
      <c r="C99" s="17" t="s">
        <v>377</v>
      </c>
    </row>
    <row r="100" spans="1:3" x14ac:dyDescent="0.25">
      <c r="A100" s="1" t="s">
        <v>290</v>
      </c>
      <c r="B100" s="1" t="s">
        <v>80</v>
      </c>
      <c r="C100" s="17" t="s">
        <v>377</v>
      </c>
    </row>
    <row r="101" spans="1:3" x14ac:dyDescent="0.25">
      <c r="A101" s="1" t="s">
        <v>656</v>
      </c>
      <c r="B101" s="1" t="s">
        <v>78</v>
      </c>
      <c r="C101" s="17" t="s">
        <v>377</v>
      </c>
    </row>
    <row r="102" spans="1:3" x14ac:dyDescent="0.25">
      <c r="A102" s="1" t="s">
        <v>657</v>
      </c>
      <c r="B102" s="1" t="s">
        <v>81</v>
      </c>
      <c r="C102" s="17" t="s">
        <v>377</v>
      </c>
    </row>
    <row r="103" spans="1:3" x14ac:dyDescent="0.25">
      <c r="A103" s="1" t="s">
        <v>258</v>
      </c>
      <c r="B103" s="1" t="s">
        <v>80</v>
      </c>
      <c r="C103" s="17" t="s">
        <v>383</v>
      </c>
    </row>
    <row r="104" spans="1:3" x14ac:dyDescent="0.25">
      <c r="A104" s="1" t="s">
        <v>363</v>
      </c>
      <c r="B104" s="1" t="s">
        <v>81</v>
      </c>
      <c r="C104" s="17" t="s">
        <v>377</v>
      </c>
    </row>
    <row r="105" spans="1:3" x14ac:dyDescent="0.25">
      <c r="A105" s="1" t="s">
        <v>207</v>
      </c>
      <c r="B105" s="1" t="s">
        <v>78</v>
      </c>
      <c r="C105" s="17" t="s">
        <v>384</v>
      </c>
    </row>
    <row r="106" spans="1:3" x14ac:dyDescent="0.25">
      <c r="A106" s="1" t="s">
        <v>658</v>
      </c>
      <c r="B106" s="1" t="s">
        <v>78</v>
      </c>
      <c r="C106" s="17" t="s">
        <v>377</v>
      </c>
    </row>
    <row r="107" spans="1:3" x14ac:dyDescent="0.25">
      <c r="A107" s="1" t="s">
        <v>659</v>
      </c>
      <c r="B107" s="1" t="s">
        <v>81</v>
      </c>
      <c r="C107" s="17" t="s">
        <v>377</v>
      </c>
    </row>
    <row r="108" spans="1:3" x14ac:dyDescent="0.25">
      <c r="A108" s="1" t="s">
        <v>291</v>
      </c>
      <c r="B108" s="1" t="s">
        <v>80</v>
      </c>
      <c r="C108" s="17" t="s">
        <v>377</v>
      </c>
    </row>
    <row r="109" spans="1:3" x14ac:dyDescent="0.25">
      <c r="A109" s="1" t="s">
        <v>660</v>
      </c>
      <c r="B109" s="1" t="s">
        <v>78</v>
      </c>
      <c r="C109" s="17" t="s">
        <v>377</v>
      </c>
    </row>
    <row r="110" spans="1:3" x14ac:dyDescent="0.25">
      <c r="A110" s="1" t="s">
        <v>661</v>
      </c>
      <c r="B110" s="1" t="s">
        <v>80</v>
      </c>
      <c r="C110" s="17" t="s">
        <v>381</v>
      </c>
    </row>
    <row r="111" spans="1:3" x14ac:dyDescent="0.25">
      <c r="A111" s="1" t="s">
        <v>250</v>
      </c>
      <c r="B111" s="1" t="s">
        <v>80</v>
      </c>
      <c r="C111" s="17" t="s">
        <v>382</v>
      </c>
    </row>
    <row r="112" spans="1:3" x14ac:dyDescent="0.25">
      <c r="A112" s="1" t="s">
        <v>314</v>
      </c>
      <c r="B112" s="1" t="s">
        <v>81</v>
      </c>
      <c r="C112" s="17" t="s">
        <v>378</v>
      </c>
    </row>
    <row r="113" spans="1:3" x14ac:dyDescent="0.25">
      <c r="A113" s="1" t="s">
        <v>364</v>
      </c>
      <c r="B113" s="1" t="s">
        <v>81</v>
      </c>
      <c r="C113" s="17" t="s">
        <v>377</v>
      </c>
    </row>
    <row r="114" spans="1:3" x14ac:dyDescent="0.25">
      <c r="A114" s="1" t="s">
        <v>175</v>
      </c>
      <c r="B114" s="1" t="s">
        <v>79</v>
      </c>
      <c r="C114" s="17" t="s">
        <v>376</v>
      </c>
    </row>
    <row r="115" spans="1:3" x14ac:dyDescent="0.25">
      <c r="A115" s="1" t="s">
        <v>663</v>
      </c>
      <c r="B115" s="1" t="s">
        <v>78</v>
      </c>
      <c r="C115" s="17" t="s">
        <v>378</v>
      </c>
    </row>
    <row r="116" spans="1:3" x14ac:dyDescent="0.25">
      <c r="A116" s="1" t="s">
        <v>662</v>
      </c>
      <c r="B116" s="1" t="s">
        <v>79</v>
      </c>
      <c r="C116" s="17" t="s">
        <v>379</v>
      </c>
    </row>
    <row r="117" spans="1:3" x14ac:dyDescent="0.25">
      <c r="A117" s="1" t="s">
        <v>344</v>
      </c>
      <c r="B117" s="1" t="s">
        <v>81</v>
      </c>
      <c r="C117" s="17" t="s">
        <v>384</v>
      </c>
    </row>
    <row r="118" spans="1:3" x14ac:dyDescent="0.25">
      <c r="A118" s="1" t="s">
        <v>215</v>
      </c>
      <c r="B118" s="1" t="s">
        <v>78</v>
      </c>
      <c r="C118" s="17" t="s">
        <v>386</v>
      </c>
    </row>
    <row r="119" spans="1:3" x14ac:dyDescent="0.25">
      <c r="A119" s="1" t="s">
        <v>350</v>
      </c>
      <c r="B119" s="1" t="s">
        <v>81</v>
      </c>
      <c r="C119" s="17" t="s">
        <v>386</v>
      </c>
    </row>
    <row r="120" spans="1:3" x14ac:dyDescent="0.25">
      <c r="A120" s="1" t="s">
        <v>339</v>
      </c>
      <c r="B120" s="1" t="s">
        <v>81</v>
      </c>
      <c r="C120" s="17" t="s">
        <v>383</v>
      </c>
    </row>
    <row r="121" spans="1:3" x14ac:dyDescent="0.25">
      <c r="A121" s="1" t="s">
        <v>338</v>
      </c>
      <c r="B121" s="1" t="s">
        <v>81</v>
      </c>
      <c r="C121" s="17" t="s">
        <v>383</v>
      </c>
    </row>
    <row r="122" spans="1:3" x14ac:dyDescent="0.25">
      <c r="A122" s="1" t="s">
        <v>221</v>
      </c>
      <c r="B122" s="1" t="s">
        <v>78</v>
      </c>
      <c r="C122" s="17" t="s">
        <v>377</v>
      </c>
    </row>
    <row r="123" spans="1:3" x14ac:dyDescent="0.25">
      <c r="A123" s="1" t="s">
        <v>163</v>
      </c>
      <c r="B123" s="1" t="s">
        <v>79</v>
      </c>
      <c r="C123" s="17" t="s">
        <v>385</v>
      </c>
    </row>
    <row r="124" spans="1:3" x14ac:dyDescent="0.25">
      <c r="A124" s="1" t="s">
        <v>222</v>
      </c>
      <c r="B124" s="1" t="s">
        <v>78</v>
      </c>
      <c r="C124" s="17" t="s">
        <v>377</v>
      </c>
    </row>
    <row r="125" spans="1:3" x14ac:dyDescent="0.25">
      <c r="A125" s="1" t="s">
        <v>318</v>
      </c>
      <c r="B125" s="1" t="s">
        <v>81</v>
      </c>
      <c r="C125" s="17" t="s">
        <v>379</v>
      </c>
    </row>
    <row r="126" spans="1:3" x14ac:dyDescent="0.25">
      <c r="A126" s="1" t="s">
        <v>237</v>
      </c>
      <c r="B126" s="1" t="s">
        <v>80</v>
      </c>
      <c r="C126" s="17" t="s">
        <v>378</v>
      </c>
    </row>
    <row r="127" spans="1:3" x14ac:dyDescent="0.25">
      <c r="A127" s="1" t="s">
        <v>292</v>
      </c>
      <c r="B127" s="1" t="s">
        <v>80</v>
      </c>
      <c r="C127" s="17" t="s">
        <v>377</v>
      </c>
    </row>
    <row r="128" spans="1:3" x14ac:dyDescent="0.25">
      <c r="A128" s="1" t="s">
        <v>293</v>
      </c>
      <c r="B128" s="1" t="s">
        <v>80</v>
      </c>
      <c r="C128" s="17" t="s">
        <v>377</v>
      </c>
    </row>
    <row r="129" spans="1:3" x14ac:dyDescent="0.25">
      <c r="A129" s="1" t="s">
        <v>294</v>
      </c>
      <c r="B129" s="1" t="s">
        <v>80</v>
      </c>
      <c r="C129" s="17" t="s">
        <v>377</v>
      </c>
    </row>
    <row r="130" spans="1:3" x14ac:dyDescent="0.25">
      <c r="A130" s="1" t="s">
        <v>251</v>
      </c>
      <c r="B130" s="1" t="s">
        <v>80</v>
      </c>
      <c r="C130" s="17" t="s">
        <v>382</v>
      </c>
    </row>
    <row r="131" spans="1:3" x14ac:dyDescent="0.25">
      <c r="A131" s="1" t="s">
        <v>189</v>
      </c>
      <c r="B131" s="1" t="s">
        <v>78</v>
      </c>
      <c r="C131" s="17" t="s">
        <v>381</v>
      </c>
    </row>
    <row r="132" spans="1:3" x14ac:dyDescent="0.25">
      <c r="A132" s="1" t="s">
        <v>136</v>
      </c>
      <c r="B132" s="1" t="s">
        <v>79</v>
      </c>
      <c r="C132" s="17" t="s">
        <v>380</v>
      </c>
    </row>
    <row r="133" spans="1:3" x14ac:dyDescent="0.25">
      <c r="A133" s="1" t="s">
        <v>143</v>
      </c>
      <c r="B133" s="1" t="s">
        <v>79</v>
      </c>
      <c r="C133" s="17" t="s">
        <v>382</v>
      </c>
    </row>
    <row r="134" spans="1:3" x14ac:dyDescent="0.25">
      <c r="A134" s="1" t="s">
        <v>208</v>
      </c>
      <c r="B134" s="1" t="s">
        <v>78</v>
      </c>
      <c r="C134" s="17" t="s">
        <v>384</v>
      </c>
    </row>
    <row r="135" spans="1:3" x14ac:dyDescent="0.25">
      <c r="A135" s="1" t="s">
        <v>327</v>
      </c>
      <c r="B135" s="1" t="s">
        <v>81</v>
      </c>
      <c r="C135" s="17" t="s">
        <v>381</v>
      </c>
    </row>
    <row r="136" spans="1:3" x14ac:dyDescent="0.25">
      <c r="A136" s="1" t="s">
        <v>268</v>
      </c>
      <c r="B136" s="1" t="s">
        <v>80</v>
      </c>
      <c r="C136" s="17" t="s">
        <v>384</v>
      </c>
    </row>
    <row r="137" spans="1:3" x14ac:dyDescent="0.25">
      <c r="A137" s="1" t="s">
        <v>176</v>
      </c>
      <c r="B137" s="1" t="s">
        <v>79</v>
      </c>
      <c r="C137" s="17" t="s">
        <v>376</v>
      </c>
    </row>
    <row r="138" spans="1:3" x14ac:dyDescent="0.25">
      <c r="A138" s="1" t="s">
        <v>155</v>
      </c>
      <c r="B138" s="1" t="s">
        <v>79</v>
      </c>
      <c r="C138" s="17" t="s">
        <v>384</v>
      </c>
    </row>
    <row r="139" spans="1:3" x14ac:dyDescent="0.25">
      <c r="A139" s="1" t="s">
        <v>182</v>
      </c>
      <c r="B139" s="1" t="s">
        <v>78</v>
      </c>
      <c r="C139" s="17" t="s">
        <v>378</v>
      </c>
    </row>
    <row r="140" spans="1:3" x14ac:dyDescent="0.25">
      <c r="A140" s="1" t="s">
        <v>187</v>
      </c>
      <c r="B140" s="1" t="s">
        <v>78</v>
      </c>
      <c r="C140" s="17" t="s">
        <v>379</v>
      </c>
    </row>
    <row r="141" spans="1:3" x14ac:dyDescent="0.25">
      <c r="A141" s="1" t="s">
        <v>665</v>
      </c>
      <c r="B141" s="1" t="s">
        <v>79</v>
      </c>
      <c r="C141" s="17" t="s">
        <v>386</v>
      </c>
    </row>
    <row r="142" spans="1:3" x14ac:dyDescent="0.25">
      <c r="A142" s="1" t="s">
        <v>664</v>
      </c>
      <c r="B142" s="1" t="s">
        <v>80</v>
      </c>
      <c r="C142" s="17" t="s">
        <v>377</v>
      </c>
    </row>
    <row r="143" spans="1:3" x14ac:dyDescent="0.25">
      <c r="A143" s="1" t="s">
        <v>223</v>
      </c>
      <c r="B143" s="1" t="s">
        <v>78</v>
      </c>
      <c r="C143" s="17" t="s">
        <v>377</v>
      </c>
    </row>
    <row r="144" spans="1:3" x14ac:dyDescent="0.25">
      <c r="A144" s="1" t="s">
        <v>267</v>
      </c>
      <c r="B144" s="1" t="s">
        <v>80</v>
      </c>
      <c r="C144" s="17" t="s">
        <v>384</v>
      </c>
    </row>
    <row r="145" spans="1:3" x14ac:dyDescent="0.25">
      <c r="A145" s="1" t="s">
        <v>858</v>
      </c>
      <c r="B145" s="1" t="s">
        <v>79</v>
      </c>
      <c r="C145" s="17" t="s">
        <v>376</v>
      </c>
    </row>
    <row r="146" spans="1:3" x14ac:dyDescent="0.25">
      <c r="A146" s="1" t="s">
        <v>859</v>
      </c>
      <c r="B146" s="1" t="s">
        <v>79</v>
      </c>
      <c r="C146" s="17" t="s">
        <v>376</v>
      </c>
    </row>
    <row r="147" spans="1:3" x14ac:dyDescent="0.25">
      <c r="A147" s="1" t="s">
        <v>199</v>
      </c>
      <c r="B147" s="1" t="s">
        <v>78</v>
      </c>
      <c r="C147" s="17" t="s">
        <v>383</v>
      </c>
    </row>
    <row r="148" spans="1:3" x14ac:dyDescent="0.25">
      <c r="A148" s="1" t="s">
        <v>245</v>
      </c>
      <c r="B148" s="1" t="s">
        <v>80</v>
      </c>
      <c r="C148" s="17" t="s">
        <v>380</v>
      </c>
    </row>
    <row r="149" spans="1:3" x14ac:dyDescent="0.25">
      <c r="A149" s="1" t="s">
        <v>192</v>
      </c>
      <c r="B149" s="1" t="s">
        <v>78</v>
      </c>
      <c r="C149" s="17" t="s">
        <v>382</v>
      </c>
    </row>
    <row r="150" spans="1:3" x14ac:dyDescent="0.25">
      <c r="A150" s="1" t="s">
        <v>328</v>
      </c>
      <c r="B150" s="1" t="s">
        <v>81</v>
      </c>
      <c r="C150" s="17" t="s">
        <v>381</v>
      </c>
    </row>
    <row r="151" spans="1:3" x14ac:dyDescent="0.25">
      <c r="A151" s="1" t="s">
        <v>131</v>
      </c>
      <c r="B151" s="1" t="s">
        <v>79</v>
      </c>
      <c r="C151" s="17" t="s">
        <v>379</v>
      </c>
    </row>
    <row r="152" spans="1:3" x14ac:dyDescent="0.25">
      <c r="A152" s="1" t="s">
        <v>666</v>
      </c>
      <c r="B152" s="1" t="s">
        <v>78</v>
      </c>
      <c r="C152" s="17" t="s">
        <v>378</v>
      </c>
    </row>
    <row r="153" spans="1:3" x14ac:dyDescent="0.25">
      <c r="A153" s="1" t="s">
        <v>667</v>
      </c>
      <c r="B153" s="1" t="s">
        <v>81</v>
      </c>
      <c r="C153" s="17" t="s">
        <v>378</v>
      </c>
    </row>
    <row r="154" spans="1:3" x14ac:dyDescent="0.25">
      <c r="A154" s="1" t="s">
        <v>668</v>
      </c>
      <c r="B154" s="1" t="s">
        <v>78</v>
      </c>
      <c r="C154" s="17" t="s">
        <v>377</v>
      </c>
    </row>
    <row r="155" spans="1:3" x14ac:dyDescent="0.25">
      <c r="A155" s="1" t="s">
        <v>669</v>
      </c>
      <c r="B155" s="1" t="s">
        <v>81</v>
      </c>
      <c r="C155" s="17" t="s">
        <v>377</v>
      </c>
    </row>
    <row r="156" spans="1:3" x14ac:dyDescent="0.25">
      <c r="A156" s="1" t="s">
        <v>177</v>
      </c>
      <c r="B156" s="1" t="s">
        <v>79</v>
      </c>
      <c r="C156" s="17" t="s">
        <v>376</v>
      </c>
    </row>
    <row r="157" spans="1:3" x14ac:dyDescent="0.25">
      <c r="A157" s="1" t="s">
        <v>295</v>
      </c>
      <c r="B157" s="1" t="s">
        <v>80</v>
      </c>
      <c r="C157" s="17" t="s">
        <v>377</v>
      </c>
    </row>
    <row r="158" spans="1:3" x14ac:dyDescent="0.25">
      <c r="A158" s="1" t="s">
        <v>836</v>
      </c>
      <c r="B158" s="1" t="s">
        <v>78</v>
      </c>
      <c r="C158" s="17" t="s">
        <v>837</v>
      </c>
    </row>
    <row r="159" spans="1:3" x14ac:dyDescent="0.25">
      <c r="A159" s="1" t="s">
        <v>857</v>
      </c>
      <c r="B159" s="1" t="s">
        <v>79</v>
      </c>
      <c r="C159" s="17" t="s">
        <v>861</v>
      </c>
    </row>
    <row r="160" spans="1:3" x14ac:dyDescent="0.25">
      <c r="A160" s="1" t="s">
        <v>872</v>
      </c>
      <c r="B160" s="1" t="s">
        <v>80</v>
      </c>
      <c r="C160" s="17" t="s">
        <v>861</v>
      </c>
    </row>
    <row r="161" spans="1:3" x14ac:dyDescent="0.25">
      <c r="A161" s="1" t="s">
        <v>877</v>
      </c>
      <c r="B161" s="1" t="s">
        <v>81</v>
      </c>
      <c r="C161" s="17" t="s">
        <v>861</v>
      </c>
    </row>
    <row r="162" spans="1:3" x14ac:dyDescent="0.25">
      <c r="A162" s="1" t="s">
        <v>671</v>
      </c>
      <c r="B162" s="1" t="s">
        <v>78</v>
      </c>
      <c r="C162" s="17" t="s">
        <v>379</v>
      </c>
    </row>
    <row r="163" spans="1:3" x14ac:dyDescent="0.25">
      <c r="A163" s="1" t="s">
        <v>670</v>
      </c>
      <c r="B163" s="1" t="s">
        <v>79</v>
      </c>
      <c r="C163" s="17" t="s">
        <v>380</v>
      </c>
    </row>
    <row r="164" spans="1:3" x14ac:dyDescent="0.25">
      <c r="A164" s="1" t="s">
        <v>672</v>
      </c>
      <c r="B164" s="1" t="s">
        <v>81</v>
      </c>
      <c r="C164" s="17" t="s">
        <v>378</v>
      </c>
    </row>
    <row r="165" spans="1:3" x14ac:dyDescent="0.25">
      <c r="A165" s="1" t="s">
        <v>242</v>
      </c>
      <c r="B165" s="1" t="s">
        <v>80</v>
      </c>
      <c r="C165" s="17" t="s">
        <v>379</v>
      </c>
    </row>
    <row r="166" spans="1:3" x14ac:dyDescent="0.25">
      <c r="A166" s="1" t="s">
        <v>277</v>
      </c>
      <c r="B166" s="1" t="s">
        <v>80</v>
      </c>
      <c r="C166" s="17" t="s">
        <v>386</v>
      </c>
    </row>
    <row r="167" spans="1:3" x14ac:dyDescent="0.25">
      <c r="A167" s="1" t="s">
        <v>157</v>
      </c>
      <c r="B167" s="1" t="s">
        <v>79</v>
      </c>
      <c r="C167" s="17" t="s">
        <v>384</v>
      </c>
    </row>
    <row r="168" spans="1:3" x14ac:dyDescent="0.25">
      <c r="A168" s="1" t="s">
        <v>188</v>
      </c>
      <c r="B168" s="1" t="s">
        <v>78</v>
      </c>
      <c r="C168" s="17" t="s">
        <v>380</v>
      </c>
    </row>
    <row r="169" spans="1:3" x14ac:dyDescent="0.25">
      <c r="A169" s="1" t="s">
        <v>319</v>
      </c>
      <c r="B169" s="1" t="s">
        <v>81</v>
      </c>
      <c r="C169" s="17" t="s">
        <v>379</v>
      </c>
    </row>
    <row r="170" spans="1:3" x14ac:dyDescent="0.25">
      <c r="A170" s="1" t="s">
        <v>246</v>
      </c>
      <c r="B170" s="1" t="s">
        <v>80</v>
      </c>
      <c r="C170" s="17" t="s">
        <v>381</v>
      </c>
    </row>
    <row r="171" spans="1:3" x14ac:dyDescent="0.25">
      <c r="A171" s="1" t="s">
        <v>243</v>
      </c>
      <c r="B171" s="1" t="s">
        <v>80</v>
      </c>
      <c r="C171" s="17" t="s">
        <v>379</v>
      </c>
    </row>
    <row r="172" spans="1:3" x14ac:dyDescent="0.25">
      <c r="A172" s="1" t="s">
        <v>333</v>
      </c>
      <c r="B172" s="1" t="s">
        <v>81</v>
      </c>
      <c r="C172" s="17" t="s">
        <v>382</v>
      </c>
    </row>
    <row r="173" spans="1:3" x14ac:dyDescent="0.25">
      <c r="A173" s="1" t="s">
        <v>329</v>
      </c>
      <c r="B173" s="1" t="s">
        <v>81</v>
      </c>
      <c r="C173" s="17" t="s">
        <v>381</v>
      </c>
    </row>
    <row r="174" spans="1:3" x14ac:dyDescent="0.25">
      <c r="A174" s="1" t="s">
        <v>138</v>
      </c>
      <c r="B174" s="1" t="s">
        <v>79</v>
      </c>
      <c r="C174" s="17" t="s">
        <v>381</v>
      </c>
    </row>
    <row r="175" spans="1:3" x14ac:dyDescent="0.25">
      <c r="A175" s="1" t="s">
        <v>673</v>
      </c>
      <c r="B175" s="1" t="s">
        <v>78</v>
      </c>
      <c r="C175" s="17" t="s">
        <v>381</v>
      </c>
    </row>
    <row r="176" spans="1:3" x14ac:dyDescent="0.25">
      <c r="A176" s="1" t="s">
        <v>674</v>
      </c>
      <c r="B176" s="1" t="s">
        <v>80</v>
      </c>
      <c r="C176" s="17" t="s">
        <v>380</v>
      </c>
    </row>
    <row r="177" spans="1:3" x14ac:dyDescent="0.25">
      <c r="A177" s="1" t="s">
        <v>365</v>
      </c>
      <c r="B177" s="1" t="s">
        <v>81</v>
      </c>
      <c r="C177" s="17" t="s">
        <v>377</v>
      </c>
    </row>
    <row r="178" spans="1:3" x14ac:dyDescent="0.25">
      <c r="A178" s="1" t="s">
        <v>675</v>
      </c>
      <c r="B178" s="1" t="s">
        <v>78</v>
      </c>
      <c r="C178" s="17" t="s">
        <v>379</v>
      </c>
    </row>
    <row r="179" spans="1:3" x14ac:dyDescent="0.25">
      <c r="A179" s="1" t="s">
        <v>676</v>
      </c>
      <c r="B179" s="1" t="s">
        <v>80</v>
      </c>
      <c r="C179" s="17" t="s">
        <v>379</v>
      </c>
    </row>
    <row r="180" spans="1:3" x14ac:dyDescent="0.25">
      <c r="A180" s="1" t="s">
        <v>129</v>
      </c>
      <c r="B180" s="1" t="s">
        <v>79</v>
      </c>
      <c r="C180" s="17" t="s">
        <v>378</v>
      </c>
    </row>
    <row r="181" spans="1:3" x14ac:dyDescent="0.25">
      <c r="A181" s="1" t="s">
        <v>132</v>
      </c>
      <c r="B181" s="1" t="s">
        <v>79</v>
      </c>
      <c r="C181" s="17" t="s">
        <v>379</v>
      </c>
    </row>
    <row r="182" spans="1:3" x14ac:dyDescent="0.25">
      <c r="A182" s="1" t="s">
        <v>137</v>
      </c>
      <c r="B182" s="1" t="s">
        <v>79</v>
      </c>
      <c r="C182" s="17" t="s">
        <v>380</v>
      </c>
    </row>
    <row r="183" spans="1:3" x14ac:dyDescent="0.25">
      <c r="A183" s="1" t="s">
        <v>224</v>
      </c>
      <c r="B183" s="1" t="s">
        <v>78</v>
      </c>
      <c r="C183" s="17" t="s">
        <v>377</v>
      </c>
    </row>
    <row r="184" spans="1:3" x14ac:dyDescent="0.25">
      <c r="A184" s="1" t="s">
        <v>322</v>
      </c>
      <c r="B184" s="1" t="s">
        <v>81</v>
      </c>
      <c r="C184" s="17" t="s">
        <v>380</v>
      </c>
    </row>
    <row r="185" spans="1:3" x14ac:dyDescent="0.25">
      <c r="A185" s="1" t="s">
        <v>330</v>
      </c>
      <c r="B185" s="1" t="s">
        <v>81</v>
      </c>
      <c r="C185" s="17" t="s">
        <v>381</v>
      </c>
    </row>
    <row r="186" spans="1:3" x14ac:dyDescent="0.25">
      <c r="A186" s="1" t="s">
        <v>677</v>
      </c>
      <c r="B186" s="1" t="s">
        <v>78</v>
      </c>
      <c r="C186" s="17" t="s">
        <v>381</v>
      </c>
    </row>
    <row r="187" spans="1:3" x14ac:dyDescent="0.25">
      <c r="A187" s="1" t="s">
        <v>678</v>
      </c>
      <c r="B187" s="1" t="s">
        <v>80</v>
      </c>
      <c r="C187" s="17" t="s">
        <v>381</v>
      </c>
    </row>
    <row r="188" spans="1:3" x14ac:dyDescent="0.25">
      <c r="A188" s="1" t="s">
        <v>345</v>
      </c>
      <c r="B188" s="1" t="s">
        <v>81</v>
      </c>
      <c r="C188" s="17" t="s">
        <v>384</v>
      </c>
    </row>
    <row r="189" spans="1:3" x14ac:dyDescent="0.25">
      <c r="A189" s="1" t="s">
        <v>351</v>
      </c>
      <c r="B189" s="1" t="s">
        <v>81</v>
      </c>
      <c r="C189" s="17" t="s">
        <v>386</v>
      </c>
    </row>
    <row r="190" spans="1:3" x14ac:dyDescent="0.25">
      <c r="A190" s="1" t="s">
        <v>838</v>
      </c>
      <c r="B190" s="1" t="s">
        <v>78</v>
      </c>
      <c r="C190" s="17" t="s">
        <v>377</v>
      </c>
    </row>
    <row r="191" spans="1:3" x14ac:dyDescent="0.25">
      <c r="A191" s="1" t="s">
        <v>889</v>
      </c>
      <c r="B191" s="1" t="s">
        <v>80</v>
      </c>
      <c r="C191" s="17" t="s">
        <v>382</v>
      </c>
    </row>
    <row r="192" spans="1:3" x14ac:dyDescent="0.25">
      <c r="A192" s="1" t="s">
        <v>200</v>
      </c>
      <c r="B192" s="1" t="s">
        <v>78</v>
      </c>
      <c r="C192" s="17" t="s">
        <v>383</v>
      </c>
    </row>
    <row r="193" spans="1:3" x14ac:dyDescent="0.25">
      <c r="A193" s="1" t="s">
        <v>252</v>
      </c>
      <c r="B193" s="1" t="s">
        <v>80</v>
      </c>
      <c r="C193" s="17" t="s">
        <v>382</v>
      </c>
    </row>
    <row r="194" spans="1:3" x14ac:dyDescent="0.25">
      <c r="A194" s="1" t="s">
        <v>193</v>
      </c>
      <c r="B194" s="1" t="s">
        <v>78</v>
      </c>
      <c r="C194" s="17" t="s">
        <v>382</v>
      </c>
    </row>
    <row r="195" spans="1:3" x14ac:dyDescent="0.25">
      <c r="A195" s="1" t="s">
        <v>225</v>
      </c>
      <c r="B195" s="1" t="s">
        <v>78</v>
      </c>
      <c r="C195" s="17" t="s">
        <v>377</v>
      </c>
    </row>
    <row r="196" spans="1:3" x14ac:dyDescent="0.25">
      <c r="A196" s="1" t="s">
        <v>226</v>
      </c>
      <c r="B196" s="1" t="s">
        <v>78</v>
      </c>
      <c r="C196" s="17" t="s">
        <v>377</v>
      </c>
    </row>
    <row r="197" spans="1:3" x14ac:dyDescent="0.25">
      <c r="A197" s="1" t="s">
        <v>679</v>
      </c>
      <c r="B197" s="1" t="s">
        <v>78</v>
      </c>
      <c r="C197" s="17" t="s">
        <v>384</v>
      </c>
    </row>
    <row r="198" spans="1:3" x14ac:dyDescent="0.25">
      <c r="A198" s="1" t="s">
        <v>680</v>
      </c>
      <c r="B198" s="1" t="s">
        <v>81</v>
      </c>
      <c r="C198" s="17" t="s">
        <v>382</v>
      </c>
    </row>
    <row r="199" spans="1:3" x14ac:dyDescent="0.25">
      <c r="A199" s="1" t="s">
        <v>839</v>
      </c>
      <c r="B199" s="1" t="s">
        <v>78</v>
      </c>
      <c r="C199" s="17" t="s">
        <v>377</v>
      </c>
    </row>
    <row r="200" spans="1:3" x14ac:dyDescent="0.25">
      <c r="A200" s="1" t="s">
        <v>681</v>
      </c>
      <c r="B200" s="1" t="s">
        <v>80</v>
      </c>
      <c r="C200" s="17" t="s">
        <v>377</v>
      </c>
    </row>
    <row r="201" spans="1:3" x14ac:dyDescent="0.25">
      <c r="A201" s="1" t="s">
        <v>211</v>
      </c>
      <c r="B201" s="1" t="s">
        <v>78</v>
      </c>
      <c r="C201" s="17" t="s">
        <v>385</v>
      </c>
    </row>
    <row r="202" spans="1:3" x14ac:dyDescent="0.25">
      <c r="A202" s="1" t="s">
        <v>227</v>
      </c>
      <c r="B202" s="1" t="s">
        <v>78</v>
      </c>
      <c r="C202" s="17" t="s">
        <v>377</v>
      </c>
    </row>
    <row r="203" spans="1:3" x14ac:dyDescent="0.25">
      <c r="A203" s="1" t="s">
        <v>840</v>
      </c>
      <c r="B203" s="1" t="s">
        <v>78</v>
      </c>
      <c r="C203" s="17" t="s">
        <v>377</v>
      </c>
    </row>
    <row r="204" spans="1:3" x14ac:dyDescent="0.25">
      <c r="A204" s="1" t="s">
        <v>228</v>
      </c>
      <c r="B204" s="1" t="s">
        <v>78</v>
      </c>
      <c r="C204" s="17" t="s">
        <v>377</v>
      </c>
    </row>
    <row r="205" spans="1:3" x14ac:dyDescent="0.25">
      <c r="A205" s="1" t="s">
        <v>682</v>
      </c>
      <c r="B205" s="1" t="s">
        <v>78</v>
      </c>
      <c r="C205" s="17" t="s">
        <v>381</v>
      </c>
    </row>
    <row r="206" spans="1:3" x14ac:dyDescent="0.25">
      <c r="A206" s="1" t="s">
        <v>683</v>
      </c>
      <c r="B206" s="1" t="s">
        <v>80</v>
      </c>
      <c r="C206" s="17" t="s">
        <v>380</v>
      </c>
    </row>
    <row r="207" spans="1:3" x14ac:dyDescent="0.25">
      <c r="A207" s="1" t="s">
        <v>684</v>
      </c>
      <c r="B207" s="1" t="s">
        <v>78</v>
      </c>
      <c r="C207" s="17" t="s">
        <v>380</v>
      </c>
    </row>
    <row r="208" spans="1:3" x14ac:dyDescent="0.25">
      <c r="A208" s="1" t="s">
        <v>685</v>
      </c>
      <c r="B208" s="1" t="s">
        <v>80</v>
      </c>
      <c r="C208" s="17" t="s">
        <v>380</v>
      </c>
    </row>
    <row r="209" spans="1:3" x14ac:dyDescent="0.25">
      <c r="A209" s="1" t="s">
        <v>686</v>
      </c>
      <c r="B209" s="1" t="s">
        <v>81</v>
      </c>
      <c r="C209" s="17" t="s">
        <v>379</v>
      </c>
    </row>
    <row r="210" spans="1:3" x14ac:dyDescent="0.25">
      <c r="A210" s="1" t="s">
        <v>366</v>
      </c>
      <c r="B210" s="1" t="s">
        <v>81</v>
      </c>
      <c r="C210" s="17" t="s">
        <v>377</v>
      </c>
    </row>
    <row r="211" spans="1:3" x14ac:dyDescent="0.25">
      <c r="A211" s="1" t="s">
        <v>841</v>
      </c>
      <c r="B211" s="1" t="s">
        <v>78</v>
      </c>
      <c r="C211" s="17" t="s">
        <v>377</v>
      </c>
    </row>
    <row r="212" spans="1:3" x14ac:dyDescent="0.25">
      <c r="A212" s="1" t="s">
        <v>860</v>
      </c>
      <c r="B212" s="1" t="s">
        <v>79</v>
      </c>
      <c r="C212" s="17" t="s">
        <v>376</v>
      </c>
    </row>
    <row r="213" spans="1:3" x14ac:dyDescent="0.25">
      <c r="A213" s="1" t="s">
        <v>862</v>
      </c>
      <c r="B213" s="1" t="s">
        <v>79</v>
      </c>
      <c r="C213" s="17" t="s">
        <v>376</v>
      </c>
    </row>
    <row r="214" spans="1:3" x14ac:dyDescent="0.25">
      <c r="A214" s="1" t="s">
        <v>141</v>
      </c>
      <c r="B214" s="1" t="s">
        <v>79</v>
      </c>
      <c r="C214" s="17" t="s">
        <v>381</v>
      </c>
    </row>
    <row r="215" spans="1:3" x14ac:dyDescent="0.25">
      <c r="A215" s="1" t="s">
        <v>688</v>
      </c>
      <c r="B215" s="1" t="s">
        <v>78</v>
      </c>
      <c r="C215" s="17" t="s">
        <v>377</v>
      </c>
    </row>
    <row r="216" spans="1:3" x14ac:dyDescent="0.25">
      <c r="A216" s="1" t="s">
        <v>687</v>
      </c>
      <c r="B216" s="1" t="s">
        <v>79</v>
      </c>
      <c r="C216" s="17" t="s">
        <v>382</v>
      </c>
    </row>
    <row r="217" spans="1:3" x14ac:dyDescent="0.25">
      <c r="A217" s="1" t="s">
        <v>238</v>
      </c>
      <c r="B217" s="1" t="s">
        <v>80</v>
      </c>
      <c r="C217" s="17" t="s">
        <v>378</v>
      </c>
    </row>
    <row r="218" spans="1:3" x14ac:dyDescent="0.25">
      <c r="A218" s="1" t="s">
        <v>144</v>
      </c>
      <c r="B218" s="1" t="s">
        <v>79</v>
      </c>
      <c r="C218" s="17" t="s">
        <v>382</v>
      </c>
    </row>
    <row r="219" spans="1:3" x14ac:dyDescent="0.25">
      <c r="A219" s="1" t="s">
        <v>145</v>
      </c>
      <c r="B219" s="1" t="s">
        <v>79</v>
      </c>
      <c r="C219" s="17" t="s">
        <v>382</v>
      </c>
    </row>
    <row r="220" spans="1:3" x14ac:dyDescent="0.25">
      <c r="A220" s="1" t="s">
        <v>842</v>
      </c>
      <c r="B220" s="1" t="s">
        <v>78</v>
      </c>
      <c r="C220" s="17" t="s">
        <v>377</v>
      </c>
    </row>
    <row r="221" spans="1:3" x14ac:dyDescent="0.25">
      <c r="A221" s="1" t="s">
        <v>296</v>
      </c>
      <c r="B221" s="1" t="s">
        <v>80</v>
      </c>
      <c r="C221" s="17" t="s">
        <v>377</v>
      </c>
    </row>
    <row r="222" spans="1:3" x14ac:dyDescent="0.25">
      <c r="A222" s="1" t="s">
        <v>689</v>
      </c>
      <c r="B222" s="1" t="s">
        <v>78</v>
      </c>
      <c r="C222" s="17" t="s">
        <v>377</v>
      </c>
    </row>
    <row r="223" spans="1:3" x14ac:dyDescent="0.25">
      <c r="A223" s="1" t="s">
        <v>690</v>
      </c>
      <c r="B223" s="1" t="s">
        <v>81</v>
      </c>
      <c r="C223" s="17" t="s">
        <v>377</v>
      </c>
    </row>
    <row r="224" spans="1:3" x14ac:dyDescent="0.25">
      <c r="A224" s="1" t="s">
        <v>367</v>
      </c>
      <c r="B224" s="1" t="s">
        <v>81</v>
      </c>
      <c r="C224" s="17" t="s">
        <v>377</v>
      </c>
    </row>
    <row r="225" spans="1:3" x14ac:dyDescent="0.25">
      <c r="A225" s="1" t="s">
        <v>691</v>
      </c>
      <c r="B225" s="1" t="s">
        <v>78</v>
      </c>
      <c r="C225" s="17" t="s">
        <v>377</v>
      </c>
    </row>
    <row r="226" spans="1:3" x14ac:dyDescent="0.25">
      <c r="A226" s="1" t="s">
        <v>692</v>
      </c>
      <c r="B226" s="1" t="s">
        <v>81</v>
      </c>
      <c r="C226" s="17" t="s">
        <v>377</v>
      </c>
    </row>
    <row r="227" spans="1:3" x14ac:dyDescent="0.25">
      <c r="A227" s="1" t="s">
        <v>843</v>
      </c>
      <c r="B227" s="1" t="s">
        <v>78</v>
      </c>
      <c r="C227" s="17" t="s">
        <v>377</v>
      </c>
    </row>
    <row r="228" spans="1:3" x14ac:dyDescent="0.25">
      <c r="A228" s="1" t="s">
        <v>164</v>
      </c>
      <c r="B228" s="1" t="s">
        <v>79</v>
      </c>
      <c r="C228" s="17" t="s">
        <v>385</v>
      </c>
    </row>
    <row r="229" spans="1:3" x14ac:dyDescent="0.25">
      <c r="A229" s="1" t="s">
        <v>170</v>
      </c>
      <c r="B229" s="1" t="s">
        <v>79</v>
      </c>
      <c r="C229" s="17" t="s">
        <v>386</v>
      </c>
    </row>
    <row r="230" spans="1:3" x14ac:dyDescent="0.25">
      <c r="A230" s="1" t="s">
        <v>278</v>
      </c>
      <c r="B230" s="1" t="s">
        <v>80</v>
      </c>
      <c r="C230" s="17" t="s">
        <v>386</v>
      </c>
    </row>
    <row r="231" spans="1:3" x14ac:dyDescent="0.25">
      <c r="A231" s="1" t="s">
        <v>212</v>
      </c>
      <c r="B231" s="1" t="s">
        <v>78</v>
      </c>
      <c r="C231" s="17" t="s">
        <v>385</v>
      </c>
    </row>
    <row r="232" spans="1:3" x14ac:dyDescent="0.25">
      <c r="A232" s="1" t="s">
        <v>146</v>
      </c>
      <c r="B232" s="1" t="s">
        <v>79</v>
      </c>
      <c r="C232" s="17" t="s">
        <v>382</v>
      </c>
    </row>
    <row r="233" spans="1:3" x14ac:dyDescent="0.25">
      <c r="A233" s="1" t="s">
        <v>201</v>
      </c>
      <c r="B233" s="1" t="s">
        <v>78</v>
      </c>
      <c r="C233" s="17" t="s">
        <v>383</v>
      </c>
    </row>
    <row r="234" spans="1:3" x14ac:dyDescent="0.25">
      <c r="A234" s="1" t="s">
        <v>863</v>
      </c>
      <c r="B234" s="1" t="s">
        <v>79</v>
      </c>
      <c r="C234" s="17" t="s">
        <v>376</v>
      </c>
    </row>
    <row r="235" spans="1:3" x14ac:dyDescent="0.25">
      <c r="A235" s="1" t="s">
        <v>694</v>
      </c>
      <c r="B235" s="1" t="s">
        <v>78</v>
      </c>
      <c r="C235" s="17" t="s">
        <v>377</v>
      </c>
    </row>
    <row r="236" spans="1:3" x14ac:dyDescent="0.25">
      <c r="A236" s="1" t="s">
        <v>693</v>
      </c>
      <c r="B236" s="1" t="s">
        <v>79</v>
      </c>
      <c r="C236" s="17" t="s">
        <v>383</v>
      </c>
    </row>
    <row r="237" spans="1:3" x14ac:dyDescent="0.25">
      <c r="A237" s="1" t="s">
        <v>261</v>
      </c>
      <c r="B237" s="1" t="s">
        <v>80</v>
      </c>
      <c r="C237" s="17" t="s">
        <v>383</v>
      </c>
    </row>
    <row r="238" spans="1:3" x14ac:dyDescent="0.25">
      <c r="A238" s="1" t="s">
        <v>864</v>
      </c>
      <c r="B238" s="1" t="s">
        <v>79</v>
      </c>
      <c r="C238" s="17" t="s">
        <v>376</v>
      </c>
    </row>
    <row r="239" spans="1:3" x14ac:dyDescent="0.25">
      <c r="A239" s="1" t="s">
        <v>320</v>
      </c>
      <c r="B239" s="1" t="s">
        <v>81</v>
      </c>
      <c r="C239" s="17" t="s">
        <v>379</v>
      </c>
    </row>
    <row r="240" spans="1:3" x14ac:dyDescent="0.25">
      <c r="A240" s="1" t="s">
        <v>315</v>
      </c>
      <c r="B240" s="1" t="s">
        <v>81</v>
      </c>
      <c r="C240" s="17" t="s">
        <v>378</v>
      </c>
    </row>
    <row r="241" spans="1:3" x14ac:dyDescent="0.25">
      <c r="A241" s="1" t="s">
        <v>194</v>
      </c>
      <c r="B241" s="1" t="s">
        <v>78</v>
      </c>
      <c r="C241" s="17" t="s">
        <v>382</v>
      </c>
    </row>
    <row r="242" spans="1:3" x14ac:dyDescent="0.25">
      <c r="A242" s="1" t="s">
        <v>269</v>
      </c>
      <c r="B242" s="1" t="s">
        <v>80</v>
      </c>
      <c r="C242" s="17" t="s">
        <v>384</v>
      </c>
    </row>
    <row r="243" spans="1:3" x14ac:dyDescent="0.25">
      <c r="A243" s="1" t="s">
        <v>323</v>
      </c>
      <c r="B243" s="1" t="s">
        <v>81</v>
      </c>
      <c r="C243" s="17" t="s">
        <v>380</v>
      </c>
    </row>
    <row r="244" spans="1:3" x14ac:dyDescent="0.25">
      <c r="A244" s="1" t="s">
        <v>270</v>
      </c>
      <c r="B244" s="1" t="s">
        <v>80</v>
      </c>
      <c r="C244" s="17" t="s">
        <v>384</v>
      </c>
    </row>
    <row r="245" spans="1:3" x14ac:dyDescent="0.25">
      <c r="A245" s="1" t="s">
        <v>844</v>
      </c>
      <c r="B245" s="1" t="s">
        <v>78</v>
      </c>
      <c r="C245" s="17" t="s">
        <v>377</v>
      </c>
    </row>
    <row r="246" spans="1:3" x14ac:dyDescent="0.25">
      <c r="A246" s="1" t="s">
        <v>845</v>
      </c>
      <c r="B246" s="1" t="s">
        <v>78</v>
      </c>
      <c r="C246" s="17" t="s">
        <v>377</v>
      </c>
    </row>
    <row r="247" spans="1:3" x14ac:dyDescent="0.25">
      <c r="A247" s="1" t="s">
        <v>846</v>
      </c>
      <c r="B247" s="1" t="s">
        <v>78</v>
      </c>
      <c r="C247" s="17" t="s">
        <v>377</v>
      </c>
    </row>
    <row r="248" spans="1:3" x14ac:dyDescent="0.25">
      <c r="A248" s="1" t="s">
        <v>847</v>
      </c>
      <c r="B248" s="1" t="s">
        <v>78</v>
      </c>
      <c r="C248" s="17" t="s">
        <v>377</v>
      </c>
    </row>
    <row r="249" spans="1:3" x14ac:dyDescent="0.25">
      <c r="A249" s="1" t="s">
        <v>848</v>
      </c>
      <c r="B249" s="1" t="s">
        <v>78</v>
      </c>
      <c r="C249" s="17" t="s">
        <v>377</v>
      </c>
    </row>
    <row r="250" spans="1:3" x14ac:dyDescent="0.25">
      <c r="A250" s="1" t="s">
        <v>368</v>
      </c>
      <c r="B250" s="1" t="s">
        <v>81</v>
      </c>
      <c r="C250" s="17" t="s">
        <v>377</v>
      </c>
    </row>
    <row r="251" spans="1:3" x14ac:dyDescent="0.25">
      <c r="A251" s="1" t="s">
        <v>352</v>
      </c>
      <c r="B251" s="1" t="s">
        <v>81</v>
      </c>
      <c r="C251" s="17" t="s">
        <v>386</v>
      </c>
    </row>
    <row r="252" spans="1:3" x14ac:dyDescent="0.25">
      <c r="A252" s="1" t="s">
        <v>388</v>
      </c>
      <c r="B252" s="1" t="s">
        <v>81</v>
      </c>
      <c r="C252" s="17" t="s">
        <v>385</v>
      </c>
    </row>
    <row r="253" spans="1:3" x14ac:dyDescent="0.25">
      <c r="A253" s="1" t="s">
        <v>139</v>
      </c>
      <c r="B253" s="1" t="s">
        <v>79</v>
      </c>
      <c r="C253" s="17" t="s">
        <v>381</v>
      </c>
    </row>
    <row r="254" spans="1:3" x14ac:dyDescent="0.25">
      <c r="A254" s="1" t="s">
        <v>183</v>
      </c>
      <c r="B254" s="1" t="s">
        <v>78</v>
      </c>
      <c r="C254" s="17" t="s">
        <v>378</v>
      </c>
    </row>
    <row r="255" spans="1:3" x14ac:dyDescent="0.25">
      <c r="A255" s="1" t="s">
        <v>202</v>
      </c>
      <c r="B255" s="1" t="s">
        <v>78</v>
      </c>
      <c r="C255" s="17" t="s">
        <v>383</v>
      </c>
    </row>
    <row r="256" spans="1:3" x14ac:dyDescent="0.25">
      <c r="A256" s="1" t="s">
        <v>128</v>
      </c>
      <c r="B256" s="1" t="s">
        <v>79</v>
      </c>
      <c r="C256" s="17" t="s">
        <v>378</v>
      </c>
    </row>
    <row r="257" spans="1:3" x14ac:dyDescent="0.25">
      <c r="A257" s="1" t="s">
        <v>239</v>
      </c>
      <c r="B257" s="1" t="s">
        <v>80</v>
      </c>
      <c r="C257" s="17" t="s">
        <v>378</v>
      </c>
    </row>
    <row r="258" spans="1:3" x14ac:dyDescent="0.25">
      <c r="A258" s="1" t="s">
        <v>297</v>
      </c>
      <c r="B258" s="1" t="s">
        <v>80</v>
      </c>
      <c r="C258" s="17" t="s">
        <v>377</v>
      </c>
    </row>
    <row r="259" spans="1:3" x14ac:dyDescent="0.25">
      <c r="A259" s="1" t="s">
        <v>262</v>
      </c>
      <c r="B259" s="1" t="s">
        <v>80</v>
      </c>
      <c r="C259" s="17" t="s">
        <v>383</v>
      </c>
    </row>
    <row r="260" spans="1:3" x14ac:dyDescent="0.25">
      <c r="A260" s="1" t="s">
        <v>873</v>
      </c>
      <c r="B260" s="1" t="s">
        <v>80</v>
      </c>
      <c r="C260" s="17" t="s">
        <v>377</v>
      </c>
    </row>
    <row r="261" spans="1:3" x14ac:dyDescent="0.25">
      <c r="A261" s="1" t="s">
        <v>209</v>
      </c>
      <c r="B261" s="1" t="s">
        <v>78</v>
      </c>
      <c r="C261" s="17" t="s">
        <v>384</v>
      </c>
    </row>
    <row r="262" spans="1:3" x14ac:dyDescent="0.25">
      <c r="A262" s="1" t="s">
        <v>178</v>
      </c>
      <c r="B262" s="1" t="s">
        <v>79</v>
      </c>
      <c r="C262" s="17" t="s">
        <v>376</v>
      </c>
    </row>
    <row r="263" spans="1:3" x14ac:dyDescent="0.25">
      <c r="A263" s="1" t="s">
        <v>695</v>
      </c>
      <c r="B263" s="1" t="s">
        <v>78</v>
      </c>
      <c r="C263" s="17" t="s">
        <v>377</v>
      </c>
    </row>
    <row r="264" spans="1:3" x14ac:dyDescent="0.25">
      <c r="A264" s="1" t="s">
        <v>696</v>
      </c>
      <c r="B264" s="1" t="s">
        <v>81</v>
      </c>
      <c r="C264" s="17" t="s">
        <v>377</v>
      </c>
    </row>
    <row r="265" spans="1:3" x14ac:dyDescent="0.25">
      <c r="A265" s="1" t="s">
        <v>195</v>
      </c>
      <c r="B265" s="1" t="s">
        <v>78</v>
      </c>
      <c r="C265" s="17" t="s">
        <v>382</v>
      </c>
    </row>
    <row r="266" spans="1:3" x14ac:dyDescent="0.25">
      <c r="A266" s="1" t="s">
        <v>298</v>
      </c>
      <c r="B266" s="1" t="s">
        <v>80</v>
      </c>
      <c r="C266" s="17" t="s">
        <v>377</v>
      </c>
    </row>
    <row r="267" spans="1:3" x14ac:dyDescent="0.25">
      <c r="A267" s="1" t="s">
        <v>849</v>
      </c>
      <c r="B267" s="1" t="s">
        <v>78</v>
      </c>
      <c r="C267" s="17" t="s">
        <v>377</v>
      </c>
    </row>
    <row r="268" spans="1:3" x14ac:dyDescent="0.25">
      <c r="A268" s="1" t="s">
        <v>147</v>
      </c>
      <c r="B268" s="1" t="s">
        <v>79</v>
      </c>
      <c r="C268" s="17" t="s">
        <v>382</v>
      </c>
    </row>
    <row r="269" spans="1:3" x14ac:dyDescent="0.25">
      <c r="A269" s="1" t="s">
        <v>259</v>
      </c>
      <c r="B269" s="1" t="s">
        <v>80</v>
      </c>
      <c r="C269" s="17" t="s">
        <v>383</v>
      </c>
    </row>
    <row r="270" spans="1:3" x14ac:dyDescent="0.25">
      <c r="A270" s="1" t="s">
        <v>299</v>
      </c>
      <c r="B270" s="1" t="s">
        <v>80</v>
      </c>
      <c r="C270" s="17" t="s">
        <v>377</v>
      </c>
    </row>
    <row r="271" spans="1:3" x14ac:dyDescent="0.25">
      <c r="A271" s="1" t="s">
        <v>890</v>
      </c>
      <c r="B271" s="1" t="s">
        <v>79</v>
      </c>
      <c r="C271" s="17" t="s">
        <v>376</v>
      </c>
    </row>
    <row r="272" spans="1:3" x14ac:dyDescent="0.25">
      <c r="A272" s="1" t="s">
        <v>874</v>
      </c>
      <c r="B272" s="1" t="s">
        <v>80</v>
      </c>
      <c r="C272" s="17" t="s">
        <v>377</v>
      </c>
    </row>
    <row r="273" spans="1:3" x14ac:dyDescent="0.25">
      <c r="A273" s="1" t="s">
        <v>150</v>
      </c>
      <c r="B273" s="1" t="s">
        <v>79</v>
      </c>
      <c r="C273" s="17" t="s">
        <v>383</v>
      </c>
    </row>
    <row r="274" spans="1:3" x14ac:dyDescent="0.25">
      <c r="A274" s="1" t="s">
        <v>697</v>
      </c>
      <c r="B274" s="1" t="s">
        <v>78</v>
      </c>
      <c r="C274" s="17" t="s">
        <v>377</v>
      </c>
    </row>
    <row r="275" spans="1:3" x14ac:dyDescent="0.25">
      <c r="A275" s="1" t="s">
        <v>698</v>
      </c>
      <c r="B275" s="1" t="s">
        <v>80</v>
      </c>
      <c r="C275" s="17" t="s">
        <v>385</v>
      </c>
    </row>
    <row r="276" spans="1:3" x14ac:dyDescent="0.25">
      <c r="A276" s="1" t="s">
        <v>699</v>
      </c>
      <c r="B276" s="1" t="s">
        <v>81</v>
      </c>
      <c r="C276" s="17" t="s">
        <v>377</v>
      </c>
    </row>
    <row r="277" spans="1:3" x14ac:dyDescent="0.25">
      <c r="A277" s="1" t="s">
        <v>700</v>
      </c>
      <c r="B277" s="1" t="s">
        <v>78</v>
      </c>
      <c r="C277" s="17" t="s">
        <v>377</v>
      </c>
    </row>
    <row r="278" spans="1:3" x14ac:dyDescent="0.25">
      <c r="A278" s="1" t="s">
        <v>701</v>
      </c>
      <c r="B278" s="1" t="s">
        <v>80</v>
      </c>
      <c r="C278" s="17" t="s">
        <v>385</v>
      </c>
    </row>
    <row r="279" spans="1:3" x14ac:dyDescent="0.25">
      <c r="A279" s="1" t="s">
        <v>702</v>
      </c>
      <c r="B279" s="1" t="s">
        <v>80</v>
      </c>
      <c r="C279" s="17" t="s">
        <v>377</v>
      </c>
    </row>
    <row r="280" spans="1:3" x14ac:dyDescent="0.25">
      <c r="A280" s="1" t="s">
        <v>703</v>
      </c>
      <c r="B280" s="1" t="s">
        <v>81</v>
      </c>
      <c r="C280" s="17" t="s">
        <v>377</v>
      </c>
    </row>
    <row r="281" spans="1:3" x14ac:dyDescent="0.25">
      <c r="A281" s="1" t="s">
        <v>229</v>
      </c>
      <c r="B281" s="1" t="s">
        <v>78</v>
      </c>
      <c r="C281" s="17" t="s">
        <v>377</v>
      </c>
    </row>
    <row r="282" spans="1:3" x14ac:dyDescent="0.25">
      <c r="A282" s="1" t="s">
        <v>253</v>
      </c>
      <c r="B282" s="1" t="s">
        <v>80</v>
      </c>
      <c r="C282" s="17" t="s">
        <v>382</v>
      </c>
    </row>
    <row r="283" spans="1:3" x14ac:dyDescent="0.25">
      <c r="A283" s="1" t="s">
        <v>272</v>
      </c>
      <c r="B283" s="1" t="s">
        <v>80</v>
      </c>
      <c r="C283" s="17" t="s">
        <v>385</v>
      </c>
    </row>
    <row r="284" spans="1:3" x14ac:dyDescent="0.25">
      <c r="A284" s="1" t="s">
        <v>184</v>
      </c>
      <c r="B284" s="1" t="s">
        <v>78</v>
      </c>
      <c r="C284" s="17" t="s">
        <v>378</v>
      </c>
    </row>
    <row r="285" spans="1:3" x14ac:dyDescent="0.25">
      <c r="A285" s="1" t="s">
        <v>151</v>
      </c>
      <c r="B285" s="1" t="s">
        <v>79</v>
      </c>
      <c r="C285" s="17" t="s">
        <v>383</v>
      </c>
    </row>
    <row r="286" spans="1:3" x14ac:dyDescent="0.25">
      <c r="A286" s="1" t="s">
        <v>704</v>
      </c>
      <c r="B286" s="1" t="s">
        <v>78</v>
      </c>
      <c r="C286" s="17" t="s">
        <v>380</v>
      </c>
    </row>
    <row r="287" spans="1:3" x14ac:dyDescent="0.25">
      <c r="A287" s="1" t="s">
        <v>705</v>
      </c>
      <c r="B287" s="1" t="s">
        <v>80</v>
      </c>
      <c r="C287" s="17" t="s">
        <v>380</v>
      </c>
    </row>
    <row r="288" spans="1:3" x14ac:dyDescent="0.25">
      <c r="A288" s="1" t="s">
        <v>850</v>
      </c>
      <c r="B288" s="1" t="s">
        <v>78</v>
      </c>
      <c r="C288" s="17" t="s">
        <v>377</v>
      </c>
    </row>
    <row r="289" spans="1:3" x14ac:dyDescent="0.25">
      <c r="A289" s="1" t="s">
        <v>369</v>
      </c>
      <c r="B289" s="1" t="s">
        <v>81</v>
      </c>
      <c r="C289" s="17" t="s">
        <v>377</v>
      </c>
    </row>
    <row r="290" spans="1:3" x14ac:dyDescent="0.25">
      <c r="A290" s="1" t="s">
        <v>706</v>
      </c>
      <c r="B290" s="1" t="s">
        <v>78</v>
      </c>
      <c r="C290" s="17" t="s">
        <v>381</v>
      </c>
    </row>
    <row r="291" spans="1:3" x14ac:dyDescent="0.25">
      <c r="A291" s="1" t="s">
        <v>707</v>
      </c>
      <c r="B291" s="1" t="s">
        <v>81</v>
      </c>
      <c r="C291" s="17" t="s">
        <v>381</v>
      </c>
    </row>
    <row r="292" spans="1:3" x14ac:dyDescent="0.25">
      <c r="A292" s="1" t="s">
        <v>263</v>
      </c>
      <c r="B292" s="1" t="s">
        <v>80</v>
      </c>
      <c r="C292" s="17" t="s">
        <v>383</v>
      </c>
    </row>
    <row r="293" spans="1:3" x14ac:dyDescent="0.25">
      <c r="A293" s="1" t="s">
        <v>196</v>
      </c>
      <c r="B293" s="1" t="s">
        <v>78</v>
      </c>
      <c r="C293" s="17" t="s">
        <v>382</v>
      </c>
    </row>
    <row r="294" spans="1:3" x14ac:dyDescent="0.25">
      <c r="A294" s="1" t="s">
        <v>300</v>
      </c>
      <c r="B294" s="1" t="s">
        <v>80</v>
      </c>
      <c r="C294" s="17" t="s">
        <v>377</v>
      </c>
    </row>
    <row r="295" spans="1:3" x14ac:dyDescent="0.25">
      <c r="A295" s="1" t="s">
        <v>709</v>
      </c>
      <c r="B295" s="1" t="s">
        <v>78</v>
      </c>
      <c r="C295" s="17" t="s">
        <v>380</v>
      </c>
    </row>
    <row r="296" spans="1:3" x14ac:dyDescent="0.25">
      <c r="A296" s="1" t="s">
        <v>708</v>
      </c>
      <c r="B296" s="1" t="s">
        <v>79</v>
      </c>
      <c r="C296" s="17" t="s">
        <v>382</v>
      </c>
    </row>
    <row r="297" spans="1:3" x14ac:dyDescent="0.25">
      <c r="A297" s="1" t="s">
        <v>710</v>
      </c>
      <c r="B297" s="1" t="s">
        <v>80</v>
      </c>
      <c r="C297" s="17" t="s">
        <v>380</v>
      </c>
    </row>
    <row r="298" spans="1:3" x14ac:dyDescent="0.25">
      <c r="A298" s="1" t="s">
        <v>247</v>
      </c>
      <c r="B298" s="1" t="s">
        <v>80</v>
      </c>
      <c r="C298" s="17" t="s">
        <v>381</v>
      </c>
    </row>
    <row r="299" spans="1:3" x14ac:dyDescent="0.25">
      <c r="A299" s="1" t="s">
        <v>152</v>
      </c>
      <c r="B299" s="1" t="s">
        <v>79</v>
      </c>
      <c r="C299" s="17" t="s">
        <v>383</v>
      </c>
    </row>
    <row r="300" spans="1:3" x14ac:dyDescent="0.25">
      <c r="A300" s="1" t="s">
        <v>331</v>
      </c>
      <c r="B300" s="1" t="s">
        <v>81</v>
      </c>
      <c r="C300" s="17" t="s">
        <v>381</v>
      </c>
    </row>
    <row r="301" spans="1:3" x14ac:dyDescent="0.25">
      <c r="A301" s="1" t="s">
        <v>248</v>
      </c>
      <c r="B301" s="1" t="s">
        <v>80</v>
      </c>
      <c r="C301" s="17" t="s">
        <v>381</v>
      </c>
    </row>
    <row r="302" spans="1:3" x14ac:dyDescent="0.25">
      <c r="A302" s="1" t="s">
        <v>324</v>
      </c>
      <c r="B302" s="1" t="s">
        <v>81</v>
      </c>
      <c r="C302" s="17" t="s">
        <v>380</v>
      </c>
    </row>
    <row r="303" spans="1:3" x14ac:dyDescent="0.25">
      <c r="A303" s="1" t="s">
        <v>370</v>
      </c>
      <c r="B303" s="1" t="s">
        <v>81</v>
      </c>
      <c r="C303" s="17" t="s">
        <v>377</v>
      </c>
    </row>
    <row r="304" spans="1:3" x14ac:dyDescent="0.25">
      <c r="A304" s="1" t="s">
        <v>875</v>
      </c>
      <c r="B304" s="1" t="s">
        <v>80</v>
      </c>
      <c r="C304" s="17" t="s">
        <v>377</v>
      </c>
    </row>
    <row r="305" spans="1:3" x14ac:dyDescent="0.25">
      <c r="A305" s="1" t="s">
        <v>165</v>
      </c>
      <c r="B305" s="1" t="s">
        <v>79</v>
      </c>
      <c r="C305" s="17" t="s">
        <v>385</v>
      </c>
    </row>
    <row r="306" spans="1:3" x14ac:dyDescent="0.25">
      <c r="A306" s="1" t="s">
        <v>865</v>
      </c>
      <c r="B306" s="1" t="s">
        <v>79</v>
      </c>
      <c r="C306" s="17" t="s">
        <v>376</v>
      </c>
    </row>
    <row r="307" spans="1:3" x14ac:dyDescent="0.25">
      <c r="A307" s="1" t="s">
        <v>172</v>
      </c>
      <c r="B307" s="1" t="s">
        <v>79</v>
      </c>
      <c r="C307" s="17" t="s">
        <v>386</v>
      </c>
    </row>
    <row r="308" spans="1:3" x14ac:dyDescent="0.25">
      <c r="A308" s="1" t="s">
        <v>711</v>
      </c>
      <c r="B308" s="1" t="s">
        <v>78</v>
      </c>
      <c r="C308" s="17" t="s">
        <v>378</v>
      </c>
    </row>
    <row r="309" spans="1:3" x14ac:dyDescent="0.25">
      <c r="A309" s="1" t="s">
        <v>712</v>
      </c>
      <c r="B309" s="1" t="s">
        <v>80</v>
      </c>
      <c r="C309" s="17" t="s">
        <v>378</v>
      </c>
    </row>
    <row r="310" spans="1:3" x14ac:dyDescent="0.25">
      <c r="A310" s="1" t="s">
        <v>713</v>
      </c>
      <c r="B310" s="1" t="s">
        <v>78</v>
      </c>
      <c r="C310" s="17" t="s">
        <v>382</v>
      </c>
    </row>
    <row r="311" spans="1:3" x14ac:dyDescent="0.25">
      <c r="A311" s="1" t="s">
        <v>714</v>
      </c>
      <c r="B311" s="1" t="s">
        <v>81</v>
      </c>
      <c r="C311" s="17" t="s">
        <v>381</v>
      </c>
    </row>
    <row r="312" spans="1:3" x14ac:dyDescent="0.25">
      <c r="A312" s="1" t="s">
        <v>851</v>
      </c>
      <c r="B312" s="1" t="s">
        <v>78</v>
      </c>
      <c r="C312" s="17" t="s">
        <v>377</v>
      </c>
    </row>
    <row r="313" spans="1:3" x14ac:dyDescent="0.25">
      <c r="A313" s="1" t="s">
        <v>230</v>
      </c>
      <c r="B313" s="1" t="s">
        <v>78</v>
      </c>
      <c r="C313" s="17" t="s">
        <v>377</v>
      </c>
    </row>
    <row r="314" spans="1:3" x14ac:dyDescent="0.25">
      <c r="A314" s="1" t="s">
        <v>715</v>
      </c>
      <c r="B314" s="1" t="s">
        <v>78</v>
      </c>
      <c r="C314" s="17" t="s">
        <v>377</v>
      </c>
    </row>
    <row r="315" spans="1:3" x14ac:dyDescent="0.25">
      <c r="A315" s="1" t="s">
        <v>716</v>
      </c>
      <c r="B315" s="1" t="s">
        <v>81</v>
      </c>
      <c r="C315" s="17" t="s">
        <v>377</v>
      </c>
    </row>
    <row r="316" spans="1:3" x14ac:dyDescent="0.25">
      <c r="A316" s="1" t="s">
        <v>353</v>
      </c>
      <c r="B316" s="1" t="s">
        <v>81</v>
      </c>
      <c r="C316" s="17" t="s">
        <v>386</v>
      </c>
    </row>
    <row r="317" spans="1:3" x14ac:dyDescent="0.25">
      <c r="A317" s="1" t="s">
        <v>371</v>
      </c>
      <c r="B317" s="1" t="s">
        <v>81</v>
      </c>
      <c r="C317" s="17" t="s">
        <v>377</v>
      </c>
    </row>
    <row r="318" spans="1:3" x14ac:dyDescent="0.25">
      <c r="A318" s="1" t="s">
        <v>203</v>
      </c>
      <c r="B318" s="1" t="s">
        <v>78</v>
      </c>
      <c r="C318" s="17" t="s">
        <v>383</v>
      </c>
    </row>
    <row r="319" spans="1:3" x14ac:dyDescent="0.25">
      <c r="A319" s="1" t="s">
        <v>159</v>
      </c>
      <c r="B319" s="1" t="s">
        <v>79</v>
      </c>
      <c r="C319" s="17" t="s">
        <v>384</v>
      </c>
    </row>
    <row r="320" spans="1:3" x14ac:dyDescent="0.25">
      <c r="A320" s="1" t="s">
        <v>161</v>
      </c>
      <c r="B320" s="1" t="s">
        <v>79</v>
      </c>
      <c r="C320" s="17" t="s">
        <v>384</v>
      </c>
    </row>
    <row r="321" spans="1:3" x14ac:dyDescent="0.25">
      <c r="A321" s="1" t="s">
        <v>717</v>
      </c>
      <c r="B321" s="1" t="s">
        <v>78</v>
      </c>
      <c r="C321" s="17" t="s">
        <v>377</v>
      </c>
    </row>
    <row r="322" spans="1:3" x14ac:dyDescent="0.25">
      <c r="A322" s="1" t="s">
        <v>718</v>
      </c>
      <c r="B322" s="1" t="s">
        <v>81</v>
      </c>
      <c r="C322" s="17" t="s">
        <v>385</v>
      </c>
    </row>
    <row r="323" spans="1:3" x14ac:dyDescent="0.25">
      <c r="A323" s="1" t="s">
        <v>876</v>
      </c>
      <c r="B323" s="1" t="s">
        <v>80</v>
      </c>
      <c r="C323" s="17" t="s">
        <v>377</v>
      </c>
    </row>
    <row r="324" spans="1:3" x14ac:dyDescent="0.25">
      <c r="A324" s="1" t="s">
        <v>231</v>
      </c>
      <c r="B324" s="1" t="s">
        <v>78</v>
      </c>
      <c r="C324" s="17" t="s">
        <v>377</v>
      </c>
    </row>
    <row r="325" spans="1:3" x14ac:dyDescent="0.25">
      <c r="A325" s="1" t="s">
        <v>325</v>
      </c>
      <c r="B325" s="1" t="s">
        <v>81</v>
      </c>
      <c r="C325" s="17" t="s">
        <v>380</v>
      </c>
    </row>
    <row r="326" spans="1:3" x14ac:dyDescent="0.25">
      <c r="A326" s="1" t="s">
        <v>332</v>
      </c>
      <c r="B326" s="1" t="s">
        <v>81</v>
      </c>
      <c r="C326" s="17" t="s">
        <v>381</v>
      </c>
    </row>
    <row r="327" spans="1:3" x14ac:dyDescent="0.25">
      <c r="A327" s="1" t="s">
        <v>334</v>
      </c>
      <c r="B327" s="1" t="s">
        <v>81</v>
      </c>
      <c r="C327" s="17" t="s">
        <v>382</v>
      </c>
    </row>
    <row r="328" spans="1:3" x14ac:dyDescent="0.25">
      <c r="A328" s="1" t="s">
        <v>389</v>
      </c>
      <c r="B328" s="1" t="s">
        <v>81</v>
      </c>
      <c r="C328" s="17" t="s">
        <v>385</v>
      </c>
    </row>
    <row r="329" spans="1:3" x14ac:dyDescent="0.25">
      <c r="A329" s="1" t="s">
        <v>372</v>
      </c>
      <c r="B329" s="1" t="s">
        <v>81</v>
      </c>
      <c r="C329" s="17" t="s">
        <v>377</v>
      </c>
    </row>
    <row r="330" spans="1:3" x14ac:dyDescent="0.25">
      <c r="A330" s="1" t="s">
        <v>340</v>
      </c>
      <c r="B330" s="1" t="s">
        <v>81</v>
      </c>
      <c r="C330" s="17" t="s">
        <v>383</v>
      </c>
    </row>
    <row r="331" spans="1:3" x14ac:dyDescent="0.25">
      <c r="A331" s="1" t="s">
        <v>335</v>
      </c>
      <c r="B331" s="1" t="s">
        <v>81</v>
      </c>
      <c r="C331" s="17" t="s">
        <v>382</v>
      </c>
    </row>
    <row r="332" spans="1:3" x14ac:dyDescent="0.25">
      <c r="A332" s="1" t="s">
        <v>373</v>
      </c>
      <c r="B332" s="1" t="s">
        <v>81</v>
      </c>
      <c r="C332" s="17" t="s">
        <v>377</v>
      </c>
    </row>
    <row r="333" spans="1:3" x14ac:dyDescent="0.25">
      <c r="A333" s="1" t="s">
        <v>719</v>
      </c>
      <c r="B333" s="1" t="s">
        <v>78</v>
      </c>
      <c r="C333" s="17" t="s">
        <v>377</v>
      </c>
    </row>
    <row r="334" spans="1:3" x14ac:dyDescent="0.25">
      <c r="A334" s="1" t="s">
        <v>720</v>
      </c>
      <c r="B334" s="1" t="s">
        <v>81</v>
      </c>
      <c r="C334" s="17" t="s">
        <v>383</v>
      </c>
    </row>
    <row r="335" spans="1:3" x14ac:dyDescent="0.25">
      <c r="A335" s="1" t="s">
        <v>216</v>
      </c>
      <c r="B335" s="1" t="s">
        <v>78</v>
      </c>
      <c r="C335" s="17" t="s">
        <v>386</v>
      </c>
    </row>
    <row r="336" spans="1:3" x14ac:dyDescent="0.25">
      <c r="A336" s="1" t="s">
        <v>167</v>
      </c>
      <c r="B336" s="1" t="s">
        <v>79</v>
      </c>
      <c r="C336" s="17" t="s">
        <v>385</v>
      </c>
    </row>
    <row r="337" spans="1:3" x14ac:dyDescent="0.25">
      <c r="A337" s="1" t="s">
        <v>866</v>
      </c>
      <c r="B337" s="1" t="s">
        <v>79</v>
      </c>
      <c r="C337" s="17" t="s">
        <v>376</v>
      </c>
    </row>
    <row r="338" spans="1:3" x14ac:dyDescent="0.25">
      <c r="A338" s="1" t="s">
        <v>166</v>
      </c>
      <c r="B338" s="1" t="s">
        <v>79</v>
      </c>
      <c r="C338" s="17" t="s">
        <v>385</v>
      </c>
    </row>
    <row r="339" spans="1:3" x14ac:dyDescent="0.25">
      <c r="A339" s="1" t="s">
        <v>179</v>
      </c>
      <c r="B339" s="1" t="s">
        <v>79</v>
      </c>
      <c r="C339" s="17" t="s">
        <v>376</v>
      </c>
    </row>
    <row r="340" spans="1:3" x14ac:dyDescent="0.25">
      <c r="A340" s="1" t="s">
        <v>260</v>
      </c>
      <c r="B340" s="1" t="s">
        <v>80</v>
      </c>
      <c r="C340" s="17" t="s">
        <v>383</v>
      </c>
    </row>
    <row r="341" spans="1:3" x14ac:dyDescent="0.25">
      <c r="A341" s="1" t="s">
        <v>301</v>
      </c>
      <c r="B341" s="1" t="s">
        <v>80</v>
      </c>
      <c r="C341" s="17" t="s">
        <v>377</v>
      </c>
    </row>
    <row r="342" spans="1:3" x14ac:dyDescent="0.25">
      <c r="A342" s="1" t="s">
        <v>190</v>
      </c>
      <c r="B342" s="1" t="s">
        <v>78</v>
      </c>
      <c r="C342" s="17" t="s">
        <v>381</v>
      </c>
    </row>
    <row r="343" spans="1:3" x14ac:dyDescent="0.25">
      <c r="A343" s="1" t="s">
        <v>279</v>
      </c>
      <c r="B343" s="1" t="s">
        <v>80</v>
      </c>
      <c r="C343" s="17" t="s">
        <v>386</v>
      </c>
    </row>
    <row r="344" spans="1:3" x14ac:dyDescent="0.25">
      <c r="A344" s="1" t="s">
        <v>302</v>
      </c>
      <c r="B344" s="1" t="s">
        <v>80</v>
      </c>
      <c r="C344" s="17" t="s">
        <v>377</v>
      </c>
    </row>
    <row r="345" spans="1:3" x14ac:dyDescent="0.25">
      <c r="A345" s="1" t="s">
        <v>180</v>
      </c>
      <c r="B345" s="1" t="s">
        <v>79</v>
      </c>
      <c r="C345" s="17" t="s">
        <v>376</v>
      </c>
    </row>
    <row r="346" spans="1:3" x14ac:dyDescent="0.25">
      <c r="A346" s="1" t="s">
        <v>852</v>
      </c>
      <c r="B346" s="1" t="s">
        <v>78</v>
      </c>
      <c r="C346" s="17" t="s">
        <v>377</v>
      </c>
    </row>
    <row r="347" spans="1:3" x14ac:dyDescent="0.25">
      <c r="A347" s="1" t="s">
        <v>303</v>
      </c>
      <c r="B347" s="1" t="s">
        <v>80</v>
      </c>
      <c r="C347" s="17" t="s">
        <v>377</v>
      </c>
    </row>
    <row r="348" spans="1:3" x14ac:dyDescent="0.25">
      <c r="A348" s="1" t="s">
        <v>133</v>
      </c>
      <c r="B348" s="1" t="s">
        <v>79</v>
      </c>
      <c r="C348" s="17" t="s">
        <v>379</v>
      </c>
    </row>
    <row r="349" spans="1:3" x14ac:dyDescent="0.25">
      <c r="A349" s="1" t="s">
        <v>171</v>
      </c>
      <c r="B349" s="1" t="s">
        <v>79</v>
      </c>
      <c r="C349" s="17" t="s">
        <v>386</v>
      </c>
    </row>
    <row r="350" spans="1:3" x14ac:dyDescent="0.25">
      <c r="A350" s="1" t="s">
        <v>158</v>
      </c>
      <c r="B350" s="1" t="s">
        <v>79</v>
      </c>
      <c r="C350" s="17" t="s">
        <v>384</v>
      </c>
    </row>
    <row r="351" spans="1:3" x14ac:dyDescent="0.25">
      <c r="A351" s="1" t="s">
        <v>232</v>
      </c>
      <c r="B351" s="1" t="s">
        <v>78</v>
      </c>
      <c r="C351" s="17" t="s">
        <v>377</v>
      </c>
    </row>
    <row r="352" spans="1:3" x14ac:dyDescent="0.25">
      <c r="A352" s="1" t="s">
        <v>304</v>
      </c>
      <c r="B352" s="1" t="s">
        <v>80</v>
      </c>
      <c r="C352" s="17" t="s">
        <v>377</v>
      </c>
    </row>
    <row r="353" spans="1:3" x14ac:dyDescent="0.25">
      <c r="A353" s="1" t="s">
        <v>254</v>
      </c>
      <c r="B353" s="1" t="s">
        <v>80</v>
      </c>
      <c r="C353" s="17" t="s">
        <v>382</v>
      </c>
    </row>
    <row r="354" spans="1:3" x14ac:dyDescent="0.25">
      <c r="A354" s="1" t="s">
        <v>169</v>
      </c>
      <c r="B354" s="1" t="s">
        <v>79</v>
      </c>
      <c r="C354" s="17" t="s">
        <v>386</v>
      </c>
    </row>
    <row r="355" spans="1:3" x14ac:dyDescent="0.25">
      <c r="A355" s="1" t="s">
        <v>264</v>
      </c>
      <c r="B355" s="1" t="s">
        <v>80</v>
      </c>
      <c r="C355" s="17" t="s">
        <v>383</v>
      </c>
    </row>
    <row r="356" spans="1:3" x14ac:dyDescent="0.25">
      <c r="A356" s="1" t="s">
        <v>153</v>
      </c>
      <c r="B356" s="1" t="s">
        <v>79</v>
      </c>
      <c r="C356" s="17" t="s">
        <v>383</v>
      </c>
    </row>
    <row r="357" spans="1:3" x14ac:dyDescent="0.25">
      <c r="A357" s="1" t="s">
        <v>853</v>
      </c>
      <c r="B357" s="1" t="s">
        <v>78</v>
      </c>
      <c r="C357" s="17" t="s">
        <v>377</v>
      </c>
    </row>
    <row r="358" spans="1:3" x14ac:dyDescent="0.25">
      <c r="A358" s="1" t="s">
        <v>140</v>
      </c>
      <c r="B358" s="1" t="s">
        <v>79</v>
      </c>
      <c r="C358" s="17" t="s">
        <v>381</v>
      </c>
    </row>
    <row r="359" spans="1:3" x14ac:dyDescent="0.25">
      <c r="A359" s="1" t="s">
        <v>722</v>
      </c>
      <c r="B359" s="1" t="s">
        <v>78</v>
      </c>
      <c r="C359" s="17" t="s">
        <v>379</v>
      </c>
    </row>
    <row r="360" spans="1:3" x14ac:dyDescent="0.25">
      <c r="A360" s="1" t="s">
        <v>721</v>
      </c>
      <c r="B360" s="1" t="s">
        <v>79</v>
      </c>
      <c r="C360" s="17" t="s">
        <v>380</v>
      </c>
    </row>
    <row r="361" spans="1:3" x14ac:dyDescent="0.25">
      <c r="A361" s="1" t="s">
        <v>723</v>
      </c>
      <c r="B361" s="1" t="s">
        <v>80</v>
      </c>
      <c r="C361" s="17" t="s">
        <v>379</v>
      </c>
    </row>
    <row r="362" spans="1:3" x14ac:dyDescent="0.25">
      <c r="A362" s="1" t="s">
        <v>249</v>
      </c>
      <c r="B362" s="1" t="s">
        <v>80</v>
      </c>
      <c r="C362" s="17" t="s">
        <v>381</v>
      </c>
    </row>
    <row r="363" spans="1:3" x14ac:dyDescent="0.25">
      <c r="A363" s="1" t="s">
        <v>134</v>
      </c>
      <c r="B363" s="1" t="s">
        <v>79</v>
      </c>
      <c r="C363" s="17" t="s">
        <v>379</v>
      </c>
    </row>
    <row r="364" spans="1:3" x14ac:dyDescent="0.25">
      <c r="A364" s="1" t="s">
        <v>724</v>
      </c>
      <c r="B364" s="1" t="s">
        <v>78</v>
      </c>
      <c r="C364" s="17" t="s">
        <v>378</v>
      </c>
    </row>
    <row r="365" spans="1:3" x14ac:dyDescent="0.25">
      <c r="A365" s="1" t="s">
        <v>725</v>
      </c>
      <c r="B365" s="1" t="s">
        <v>80</v>
      </c>
      <c r="C365" s="17" t="s">
        <v>378</v>
      </c>
    </row>
    <row r="366" spans="1:3" x14ac:dyDescent="0.25">
      <c r="A366" s="1" t="s">
        <v>305</v>
      </c>
      <c r="B366" s="1" t="s">
        <v>80</v>
      </c>
      <c r="C366" s="17" t="s">
        <v>377</v>
      </c>
    </row>
    <row r="367" spans="1:3" x14ac:dyDescent="0.25">
      <c r="A367" s="1" t="s">
        <v>726</v>
      </c>
      <c r="B367" s="1" t="s">
        <v>78</v>
      </c>
      <c r="C367" s="17" t="s">
        <v>377</v>
      </c>
    </row>
    <row r="368" spans="1:3" x14ac:dyDescent="0.25">
      <c r="A368" s="1" t="s">
        <v>727</v>
      </c>
      <c r="B368" s="1" t="s">
        <v>80</v>
      </c>
      <c r="C368" s="17" t="s">
        <v>385</v>
      </c>
    </row>
    <row r="369" spans="1:3" x14ac:dyDescent="0.25">
      <c r="A369" s="1" t="s">
        <v>891</v>
      </c>
      <c r="B369" s="1" t="s">
        <v>79</v>
      </c>
      <c r="C369" s="17" t="s">
        <v>386</v>
      </c>
    </row>
    <row r="370" spans="1:3" x14ac:dyDescent="0.25">
      <c r="A370" s="1" t="s">
        <v>867</v>
      </c>
      <c r="B370" s="1" t="s">
        <v>79</v>
      </c>
      <c r="C370" s="17" t="s">
        <v>376</v>
      </c>
    </row>
    <row r="371" spans="1:3" x14ac:dyDescent="0.25">
      <c r="A371" s="1" t="s">
        <v>728</v>
      </c>
      <c r="B371" s="1" t="s">
        <v>78</v>
      </c>
      <c r="C371" s="17" t="s">
        <v>377</v>
      </c>
    </row>
    <row r="372" spans="1:3" x14ac:dyDescent="0.25">
      <c r="A372" s="1" t="s">
        <v>729</v>
      </c>
      <c r="B372" s="1" t="s">
        <v>80</v>
      </c>
      <c r="C372" s="17" t="s">
        <v>377</v>
      </c>
    </row>
    <row r="373" spans="1:3" x14ac:dyDescent="0.25">
      <c r="A373" s="1" t="s">
        <v>374</v>
      </c>
      <c r="B373" s="1" t="s">
        <v>81</v>
      </c>
      <c r="C373" s="17" t="s">
        <v>377</v>
      </c>
    </row>
    <row r="374" spans="1:3" x14ac:dyDescent="0.25">
      <c r="A374" s="1" t="s">
        <v>142</v>
      </c>
      <c r="B374" s="1" t="s">
        <v>79</v>
      </c>
      <c r="C374" s="17" t="s">
        <v>381</v>
      </c>
    </row>
    <row r="375" spans="1:3" x14ac:dyDescent="0.25">
      <c r="A375" s="1" t="s">
        <v>233</v>
      </c>
      <c r="B375" s="1" t="s">
        <v>78</v>
      </c>
      <c r="C375" s="17" t="s">
        <v>377</v>
      </c>
    </row>
    <row r="376" spans="1:3" x14ac:dyDescent="0.25">
      <c r="A376" s="1" t="s">
        <v>156</v>
      </c>
      <c r="B376" s="1" t="s">
        <v>79</v>
      </c>
      <c r="C376" s="17" t="s">
        <v>384</v>
      </c>
    </row>
    <row r="377" spans="1:3" x14ac:dyDescent="0.25">
      <c r="A377" s="1" t="s">
        <v>868</v>
      </c>
      <c r="B377" s="1" t="s">
        <v>79</v>
      </c>
      <c r="C377" s="17" t="s">
        <v>376</v>
      </c>
    </row>
    <row r="378" spans="1:3" x14ac:dyDescent="0.25">
      <c r="A378" s="1" t="s">
        <v>348</v>
      </c>
      <c r="B378" s="1" t="s">
        <v>81</v>
      </c>
      <c r="C378" s="17" t="s">
        <v>385</v>
      </c>
    </row>
    <row r="379" spans="1:3" x14ac:dyDescent="0.25">
      <c r="A379" s="1" t="s">
        <v>346</v>
      </c>
      <c r="B379" s="1" t="s">
        <v>81</v>
      </c>
      <c r="C379" s="17" t="s">
        <v>384</v>
      </c>
    </row>
    <row r="380" spans="1:3" x14ac:dyDescent="0.25">
      <c r="A380" s="1" t="s">
        <v>306</v>
      </c>
      <c r="B380" s="1" t="s">
        <v>80</v>
      </c>
      <c r="C380" s="17" t="s">
        <v>377</v>
      </c>
    </row>
    <row r="381" spans="1:3" x14ac:dyDescent="0.25">
      <c r="A381" s="1" t="s">
        <v>854</v>
      </c>
      <c r="B381" s="1" t="s">
        <v>78</v>
      </c>
      <c r="C381" s="17" t="s">
        <v>377</v>
      </c>
    </row>
    <row r="382" spans="1:3" x14ac:dyDescent="0.25">
      <c r="A382" s="1" t="s">
        <v>307</v>
      </c>
      <c r="B382" s="1" t="s">
        <v>80</v>
      </c>
      <c r="C382" s="17" t="s">
        <v>377</v>
      </c>
    </row>
    <row r="383" spans="1:3" x14ac:dyDescent="0.25">
      <c r="A383" s="1" t="s">
        <v>234</v>
      </c>
      <c r="B383" s="1" t="s">
        <v>78</v>
      </c>
      <c r="C383" s="17" t="s">
        <v>377</v>
      </c>
    </row>
    <row r="384" spans="1:3" x14ac:dyDescent="0.25">
      <c r="A384" s="1" t="s">
        <v>255</v>
      </c>
      <c r="B384" s="1" t="s">
        <v>80</v>
      </c>
      <c r="C384" s="17" t="s">
        <v>382</v>
      </c>
    </row>
    <row r="385" spans="1:3" x14ac:dyDescent="0.25">
      <c r="A385" s="1" t="s">
        <v>336</v>
      </c>
      <c r="B385" s="1" t="s">
        <v>81</v>
      </c>
      <c r="C385" s="17" t="s">
        <v>382</v>
      </c>
    </row>
    <row r="386" spans="1:3" x14ac:dyDescent="0.25">
      <c r="A386" s="1" t="s">
        <v>308</v>
      </c>
      <c r="B386" s="1" t="s">
        <v>80</v>
      </c>
      <c r="C386" s="17" t="s">
        <v>377</v>
      </c>
    </row>
    <row r="387" spans="1:3" x14ac:dyDescent="0.25">
      <c r="A387" s="1" t="s">
        <v>309</v>
      </c>
      <c r="B387" s="1" t="s">
        <v>80</v>
      </c>
      <c r="C387" s="17" t="s">
        <v>377</v>
      </c>
    </row>
    <row r="388" spans="1:3" x14ac:dyDescent="0.25">
      <c r="A388" s="1" t="s">
        <v>310</v>
      </c>
      <c r="B388" s="1" t="s">
        <v>80</v>
      </c>
      <c r="C388" s="17" t="s">
        <v>377</v>
      </c>
    </row>
    <row r="389" spans="1:3" x14ac:dyDescent="0.25">
      <c r="A389" s="1" t="s">
        <v>210</v>
      </c>
      <c r="B389" s="1" t="s">
        <v>78</v>
      </c>
      <c r="C389" s="17" t="s">
        <v>384</v>
      </c>
    </row>
    <row r="390" spans="1:3" x14ac:dyDescent="0.25">
      <c r="A390" s="1" t="s">
        <v>273</v>
      </c>
      <c r="B390" s="1" t="s">
        <v>80</v>
      </c>
      <c r="C390" s="17" t="s">
        <v>385</v>
      </c>
    </row>
    <row r="391" spans="1:3" x14ac:dyDescent="0.25">
      <c r="A391" s="1" t="s">
        <v>271</v>
      </c>
      <c r="B391" s="1" t="s">
        <v>80</v>
      </c>
      <c r="C391" s="17" t="s">
        <v>384</v>
      </c>
    </row>
    <row r="392" spans="1:3" x14ac:dyDescent="0.25">
      <c r="A392" s="1" t="s">
        <v>235</v>
      </c>
      <c r="B392" s="1" t="s">
        <v>78</v>
      </c>
      <c r="C392" s="17" t="s">
        <v>377</v>
      </c>
    </row>
    <row r="393" spans="1:3" x14ac:dyDescent="0.25">
      <c r="A393" s="1" t="s">
        <v>730</v>
      </c>
      <c r="B393" s="1" t="s">
        <v>78</v>
      </c>
      <c r="C393" s="17" t="s">
        <v>377</v>
      </c>
    </row>
    <row r="394" spans="1:3" x14ac:dyDescent="0.25">
      <c r="A394" s="1" t="s">
        <v>731</v>
      </c>
      <c r="B394" s="1" t="s">
        <v>81</v>
      </c>
      <c r="C394" s="17" t="s">
        <v>377</v>
      </c>
    </row>
    <row r="395" spans="1:3" x14ac:dyDescent="0.25">
      <c r="A395" s="1" t="s">
        <v>732</v>
      </c>
      <c r="B395" s="1" t="s">
        <v>78</v>
      </c>
      <c r="C395" s="17" t="s">
        <v>377</v>
      </c>
    </row>
    <row r="396" spans="1:3" x14ac:dyDescent="0.25">
      <c r="A396" s="1" t="s">
        <v>733</v>
      </c>
      <c r="B396" s="1" t="s">
        <v>81</v>
      </c>
      <c r="C396" s="17" t="s">
        <v>377</v>
      </c>
    </row>
    <row r="397" spans="1:3" x14ac:dyDescent="0.25">
      <c r="A397" s="1" t="s">
        <v>154</v>
      </c>
      <c r="B397" s="1" t="s">
        <v>79</v>
      </c>
      <c r="C397" s="17" t="s">
        <v>383</v>
      </c>
    </row>
    <row r="398" spans="1:3" x14ac:dyDescent="0.25">
      <c r="A398" s="1" t="s">
        <v>274</v>
      </c>
      <c r="B398" s="1" t="s">
        <v>80</v>
      </c>
      <c r="C398" s="17" t="s">
        <v>385</v>
      </c>
    </row>
    <row r="399" spans="1:3" x14ac:dyDescent="0.25">
      <c r="A399" s="1" t="s">
        <v>735</v>
      </c>
      <c r="B399" s="1" t="s">
        <v>78</v>
      </c>
      <c r="C399" s="17" t="s">
        <v>377</v>
      </c>
    </row>
    <row r="400" spans="1:3" x14ac:dyDescent="0.25">
      <c r="A400" s="1" t="s">
        <v>734</v>
      </c>
      <c r="B400" s="1" t="s">
        <v>79</v>
      </c>
      <c r="C400" s="17" t="s">
        <v>376</v>
      </c>
    </row>
    <row r="401" spans="1:3" x14ac:dyDescent="0.25">
      <c r="A401" s="1" t="s">
        <v>326</v>
      </c>
      <c r="B401" s="1" t="s">
        <v>81</v>
      </c>
      <c r="C401" s="17" t="s">
        <v>380</v>
      </c>
    </row>
    <row r="402" spans="1:3" x14ac:dyDescent="0.25">
      <c r="A402" s="1" t="s">
        <v>736</v>
      </c>
      <c r="B402" s="1" t="s">
        <v>78</v>
      </c>
      <c r="C402" s="17" t="s">
        <v>380</v>
      </c>
    </row>
    <row r="403" spans="1:3" x14ac:dyDescent="0.25">
      <c r="A403" s="1" t="s">
        <v>737</v>
      </c>
      <c r="B403" s="1" t="s">
        <v>80</v>
      </c>
      <c r="C403" s="17" t="s">
        <v>380</v>
      </c>
    </row>
    <row r="404" spans="1:3" x14ac:dyDescent="0.25">
      <c r="A404" s="1" t="s">
        <v>738</v>
      </c>
      <c r="B404" s="1" t="s">
        <v>78</v>
      </c>
      <c r="C404" s="17" t="s">
        <v>385</v>
      </c>
    </row>
    <row r="405" spans="1:3" x14ac:dyDescent="0.25">
      <c r="A405" s="1" t="s">
        <v>739</v>
      </c>
      <c r="B405" s="1" t="s">
        <v>80</v>
      </c>
      <c r="C405" s="17" t="s">
        <v>383</v>
      </c>
    </row>
    <row r="406" spans="1:3" x14ac:dyDescent="0.25">
      <c r="A406" s="1" t="s">
        <v>740</v>
      </c>
      <c r="B406" s="1" t="s">
        <v>78</v>
      </c>
      <c r="C406" s="17" t="s">
        <v>385</v>
      </c>
    </row>
    <row r="407" spans="1:3" x14ac:dyDescent="0.25">
      <c r="A407" s="1" t="s">
        <v>741</v>
      </c>
      <c r="B407" s="1" t="s">
        <v>81</v>
      </c>
      <c r="C407" s="17" t="s">
        <v>383</v>
      </c>
    </row>
    <row r="408" spans="1:3" x14ac:dyDescent="0.25">
      <c r="A408" s="1" t="s">
        <v>116</v>
      </c>
      <c r="B408" s="1" t="s">
        <v>79</v>
      </c>
      <c r="C408" s="17" t="s">
        <v>386</v>
      </c>
    </row>
    <row r="409" spans="1:3" x14ac:dyDescent="0.25">
      <c r="A409" s="1" t="s">
        <v>387</v>
      </c>
      <c r="B409" s="1" t="s">
        <v>81</v>
      </c>
      <c r="C409" s="17" t="s">
        <v>384</v>
      </c>
    </row>
    <row r="410" spans="1:3" x14ac:dyDescent="0.25">
      <c r="A410" s="1" t="s">
        <v>204</v>
      </c>
      <c r="B410" s="1" t="s">
        <v>78</v>
      </c>
      <c r="C410" s="17" t="s">
        <v>383</v>
      </c>
    </row>
    <row r="411" spans="1:3" x14ac:dyDescent="0.25">
      <c r="A411" s="1" t="s">
        <v>257</v>
      </c>
      <c r="B411" s="1" t="s">
        <v>80</v>
      </c>
      <c r="C411" s="17" t="s">
        <v>383</v>
      </c>
    </row>
    <row r="412" spans="1:3" x14ac:dyDescent="0.25">
      <c r="A412" s="1" t="s">
        <v>236</v>
      </c>
      <c r="B412" s="1" t="s">
        <v>78</v>
      </c>
      <c r="C412" s="17" t="s">
        <v>377</v>
      </c>
    </row>
    <row r="413" spans="1:3" x14ac:dyDescent="0.25">
      <c r="A413" s="1" t="s">
        <v>213</v>
      </c>
      <c r="B413" s="1" t="s">
        <v>78</v>
      </c>
      <c r="C413" s="17" t="s">
        <v>385</v>
      </c>
    </row>
    <row r="414" spans="1:3" x14ac:dyDescent="0.25">
      <c r="A414" s="1" t="s">
        <v>217</v>
      </c>
      <c r="B414" s="1" t="s">
        <v>78</v>
      </c>
      <c r="C414" s="17" t="s">
        <v>386</v>
      </c>
    </row>
    <row r="415" spans="1:3" x14ac:dyDescent="0.25">
      <c r="A415" s="1" t="s">
        <v>742</v>
      </c>
      <c r="B415" s="1" t="s">
        <v>81</v>
      </c>
      <c r="C415" s="17" t="s">
        <v>377</v>
      </c>
    </row>
    <row r="416" spans="1:3" x14ac:dyDescent="0.25">
      <c r="A416" s="1" t="s">
        <v>148</v>
      </c>
      <c r="B416" s="1" t="s">
        <v>79</v>
      </c>
      <c r="C416" s="17" t="s">
        <v>382</v>
      </c>
    </row>
    <row r="417" spans="1:3" x14ac:dyDescent="0.25">
      <c r="A417" s="1" t="s">
        <v>341</v>
      </c>
      <c r="B417" s="1" t="s">
        <v>81</v>
      </c>
      <c r="C417" s="17" t="s">
        <v>383</v>
      </c>
    </row>
    <row r="418" spans="1:3" x14ac:dyDescent="0.25">
      <c r="A418" s="1" t="s">
        <v>375</v>
      </c>
      <c r="B418" s="1" t="s">
        <v>81</v>
      </c>
      <c r="C418" s="17" t="s">
        <v>377</v>
      </c>
    </row>
    <row r="419" spans="1:3" x14ac:dyDescent="0.25">
      <c r="A419" s="1" t="s">
        <v>743</v>
      </c>
      <c r="B419" s="1" t="s">
        <v>78</v>
      </c>
      <c r="C419" s="17" t="s">
        <v>377</v>
      </c>
    </row>
    <row r="420" spans="1:3" x14ac:dyDescent="0.25">
      <c r="A420" s="1" t="s">
        <v>744</v>
      </c>
      <c r="B420" s="1" t="s">
        <v>81</v>
      </c>
      <c r="C420" s="17" t="s">
        <v>377</v>
      </c>
    </row>
    <row r="421" spans="1:3" x14ac:dyDescent="0.25">
      <c r="A421" s="1" t="s">
        <v>869</v>
      </c>
      <c r="B421" s="1" t="s">
        <v>79</v>
      </c>
      <c r="C421" s="17" t="s">
        <v>376</v>
      </c>
    </row>
    <row r="422" spans="1:3" x14ac:dyDescent="0.25">
      <c r="A422" s="1" t="s">
        <v>870</v>
      </c>
      <c r="B422" s="1" t="s">
        <v>79</v>
      </c>
      <c r="C422" s="17" t="s">
        <v>376</v>
      </c>
    </row>
    <row r="423" spans="1:3" x14ac:dyDescent="0.25">
      <c r="A423" s="1" t="s">
        <v>747</v>
      </c>
      <c r="B423" s="1" t="s">
        <v>78</v>
      </c>
      <c r="C423" s="17" t="s">
        <v>381</v>
      </c>
    </row>
    <row r="424" spans="1:3" x14ac:dyDescent="0.25">
      <c r="A424" s="1" t="s">
        <v>745</v>
      </c>
      <c r="B424" s="1" t="s">
        <v>79</v>
      </c>
      <c r="C424" s="17" t="s">
        <v>381</v>
      </c>
    </row>
    <row r="425" spans="1:3" x14ac:dyDescent="0.25">
      <c r="A425" s="1" t="s">
        <v>746</v>
      </c>
      <c r="B425" s="1" t="s">
        <v>80</v>
      </c>
      <c r="C425" s="17" t="s">
        <v>381</v>
      </c>
    </row>
    <row r="426" spans="1:3" x14ac:dyDescent="0.25">
      <c r="A426" s="1" t="s">
        <v>168</v>
      </c>
      <c r="B426" s="1" t="s">
        <v>79</v>
      </c>
      <c r="C426" s="17" t="s">
        <v>385</v>
      </c>
    </row>
    <row r="427" spans="1:3" x14ac:dyDescent="0.25">
      <c r="A427" s="1" t="s">
        <v>354</v>
      </c>
      <c r="B427" s="1" t="s">
        <v>81</v>
      </c>
      <c r="C427" s="17" t="s">
        <v>386</v>
      </c>
    </row>
    <row r="428" spans="1:3" x14ac:dyDescent="0.25">
      <c r="A428" s="1" t="s">
        <v>748</v>
      </c>
      <c r="B428" s="1" t="s">
        <v>78</v>
      </c>
      <c r="C428" s="17" t="s">
        <v>377</v>
      </c>
    </row>
    <row r="429" spans="1:3" x14ac:dyDescent="0.25">
      <c r="A429" s="1" t="s">
        <v>749</v>
      </c>
      <c r="B429" s="1" t="s">
        <v>80</v>
      </c>
      <c r="C429" s="17" t="s">
        <v>377</v>
      </c>
    </row>
    <row r="430" spans="1:3" x14ac:dyDescent="0.25">
      <c r="A430" s="1" t="s">
        <v>160</v>
      </c>
      <c r="B430" s="1" t="s">
        <v>79</v>
      </c>
      <c r="C430" s="17" t="s">
        <v>384</v>
      </c>
    </row>
    <row r="431" spans="1:3" x14ac:dyDescent="0.25">
      <c r="A431" s="1" t="s">
        <v>181</v>
      </c>
      <c r="B431" s="1" t="s">
        <v>79</v>
      </c>
      <c r="C431" s="17" t="s">
        <v>376</v>
      </c>
    </row>
    <row r="432" spans="1:3" x14ac:dyDescent="0.25">
      <c r="A432" s="1" t="s">
        <v>311</v>
      </c>
      <c r="B432" s="1" t="s">
        <v>80</v>
      </c>
      <c r="C432" s="17" t="s">
        <v>377</v>
      </c>
    </row>
    <row r="433" spans="1:3" x14ac:dyDescent="0.25">
      <c r="A433" s="1" t="s">
        <v>197</v>
      </c>
      <c r="B433" s="1" t="s">
        <v>78</v>
      </c>
      <c r="C433" s="17" t="s">
        <v>382</v>
      </c>
    </row>
    <row r="434" spans="1:3" x14ac:dyDescent="0.25">
      <c r="A434" s="1" t="s">
        <v>275</v>
      </c>
      <c r="B434" s="1" t="s">
        <v>80</v>
      </c>
      <c r="C434" s="17" t="s">
        <v>385</v>
      </c>
    </row>
    <row r="435" spans="1:3" x14ac:dyDescent="0.25">
      <c r="A435" s="1" t="s">
        <v>256</v>
      </c>
      <c r="B435" s="1" t="s">
        <v>80</v>
      </c>
      <c r="C435" s="17" t="s">
        <v>382</v>
      </c>
    </row>
    <row r="436" spans="1:3" x14ac:dyDescent="0.25">
      <c r="A436" s="1" t="s">
        <v>240</v>
      </c>
      <c r="B436" s="1" t="s">
        <v>80</v>
      </c>
      <c r="C436" s="17" t="s">
        <v>378</v>
      </c>
    </row>
  </sheetData>
  <sheetProtection algorithmName="SHA-512" hashValue="ChW01Csmj5kXj5UyKbQv4duddTpdNVJiZ7QPUxyu9ALA4r+NtU5wmy3E3Pp4cW258dmqGPZxFELdZlDxSV1sNg==" saltValue="kXPvLeszu+AD32UbFSLYlA==" spinCount="100000" sheet="1" objects="1" scenarios="1"/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930B-4DC8-4B39-AE1B-1D67D27AF82A}">
  <dimension ref="A1:B373"/>
  <sheetViews>
    <sheetView showGridLines="0" topLeftCell="A82" workbookViewId="0">
      <selection activeCell="A118" sqref="A118"/>
    </sheetView>
  </sheetViews>
  <sheetFormatPr defaultRowHeight="15" x14ac:dyDescent="0.25"/>
  <cols>
    <col min="1" max="1" width="143.140625" style="1" customWidth="1"/>
    <col min="2" max="2" width="68.5703125" style="1" bestFit="1" customWidth="1"/>
    <col min="3" max="16384" width="9.140625" style="1"/>
  </cols>
  <sheetData>
    <row r="1" spans="1:2" x14ac:dyDescent="0.25">
      <c r="A1" s="58" t="s">
        <v>831</v>
      </c>
      <c r="B1" s="58" t="s">
        <v>832</v>
      </c>
    </row>
    <row r="2" spans="1:2" x14ac:dyDescent="0.25">
      <c r="A2" s="60" t="s">
        <v>1157</v>
      </c>
      <c r="B2" s="1" t="s">
        <v>1274</v>
      </c>
    </row>
    <row r="3" spans="1:2" x14ac:dyDescent="0.25">
      <c r="A3" s="59" t="s">
        <v>973</v>
      </c>
      <c r="B3" s="1" t="s">
        <v>1271</v>
      </c>
    </row>
    <row r="4" spans="1:2" x14ac:dyDescent="0.25">
      <c r="A4" s="59" t="s">
        <v>974</v>
      </c>
      <c r="B4" s="1" t="s">
        <v>1271</v>
      </c>
    </row>
    <row r="5" spans="1:2" x14ac:dyDescent="0.25">
      <c r="A5" s="62" t="s">
        <v>1076</v>
      </c>
      <c r="B5" s="1" t="s">
        <v>1272</v>
      </c>
    </row>
    <row r="6" spans="1:2" x14ac:dyDescent="0.25">
      <c r="A6" s="60" t="s">
        <v>1158</v>
      </c>
      <c r="B6" s="1" t="s">
        <v>1274</v>
      </c>
    </row>
    <row r="7" spans="1:2" x14ac:dyDescent="0.25">
      <c r="A7" s="60" t="s">
        <v>1159</v>
      </c>
      <c r="B7" s="1" t="s">
        <v>1274</v>
      </c>
    </row>
    <row r="8" spans="1:2" x14ac:dyDescent="0.25">
      <c r="A8" s="60" t="s">
        <v>1223</v>
      </c>
      <c r="B8" s="1" t="s">
        <v>1275</v>
      </c>
    </row>
    <row r="9" spans="1:2" x14ac:dyDescent="0.25">
      <c r="A9" s="62" t="s">
        <v>1124</v>
      </c>
      <c r="B9" s="1" t="s">
        <v>1273</v>
      </c>
    </row>
    <row r="10" spans="1:2" x14ac:dyDescent="0.25">
      <c r="A10" s="59" t="s">
        <v>975</v>
      </c>
      <c r="B10" s="1" t="s">
        <v>1271</v>
      </c>
    </row>
    <row r="11" spans="1:2" x14ac:dyDescent="0.25">
      <c r="A11" s="59" t="s">
        <v>976</v>
      </c>
      <c r="B11" s="1" t="s">
        <v>1271</v>
      </c>
    </row>
    <row r="12" spans="1:2" x14ac:dyDescent="0.25">
      <c r="A12" s="59" t="s">
        <v>977</v>
      </c>
      <c r="B12" s="1" t="s">
        <v>1271</v>
      </c>
    </row>
    <row r="13" spans="1:2" x14ac:dyDescent="0.25">
      <c r="A13" s="59" t="s">
        <v>927</v>
      </c>
      <c r="B13" s="1" t="s">
        <v>1270</v>
      </c>
    </row>
    <row r="14" spans="1:2" x14ac:dyDescent="0.25">
      <c r="A14" s="59" t="s">
        <v>928</v>
      </c>
      <c r="B14" s="1" t="s">
        <v>1270</v>
      </c>
    </row>
    <row r="15" spans="1:2" x14ac:dyDescent="0.25">
      <c r="A15" s="59" t="s">
        <v>929</v>
      </c>
      <c r="B15" s="1" t="s">
        <v>1270</v>
      </c>
    </row>
    <row r="16" spans="1:2" x14ac:dyDescent="0.25">
      <c r="A16" s="59" t="s">
        <v>930</v>
      </c>
      <c r="B16" s="1" t="s">
        <v>1270</v>
      </c>
    </row>
    <row r="17" spans="1:2" x14ac:dyDescent="0.25">
      <c r="A17" s="59" t="s">
        <v>978</v>
      </c>
      <c r="B17" s="1" t="s">
        <v>1271</v>
      </c>
    </row>
    <row r="18" spans="1:2" x14ac:dyDescent="0.25">
      <c r="A18" s="59" t="s">
        <v>979</v>
      </c>
      <c r="B18" s="1" t="s">
        <v>1271</v>
      </c>
    </row>
    <row r="19" spans="1:2" x14ac:dyDescent="0.25">
      <c r="A19" s="62" t="s">
        <v>1125</v>
      </c>
      <c r="B19" s="1" t="s">
        <v>1273</v>
      </c>
    </row>
    <row r="20" spans="1:2" x14ac:dyDescent="0.25">
      <c r="A20" s="62" t="s">
        <v>1126</v>
      </c>
      <c r="B20" s="1" t="s">
        <v>1273</v>
      </c>
    </row>
    <row r="21" spans="1:2" x14ac:dyDescent="0.25">
      <c r="A21" s="62" t="s">
        <v>1127</v>
      </c>
      <c r="B21" s="1" t="s">
        <v>1273</v>
      </c>
    </row>
    <row r="22" spans="1:2" x14ac:dyDescent="0.25">
      <c r="A22" s="60" t="s">
        <v>1160</v>
      </c>
      <c r="B22" s="1" t="s">
        <v>1274</v>
      </c>
    </row>
    <row r="23" spans="1:2" x14ac:dyDescent="0.25">
      <c r="A23" s="59" t="s">
        <v>931</v>
      </c>
      <c r="B23" s="1" t="s">
        <v>1270</v>
      </c>
    </row>
    <row r="24" spans="1:2" x14ac:dyDescent="0.25">
      <c r="A24" s="59" t="s">
        <v>932</v>
      </c>
      <c r="B24" s="1" t="s">
        <v>1270</v>
      </c>
    </row>
    <row r="25" spans="1:2" x14ac:dyDescent="0.25">
      <c r="A25" s="62" t="s">
        <v>1077</v>
      </c>
      <c r="B25" s="1" t="s">
        <v>1272</v>
      </c>
    </row>
    <row r="26" spans="1:2" x14ac:dyDescent="0.25">
      <c r="A26" s="59" t="s">
        <v>933</v>
      </c>
      <c r="B26" s="1" t="s">
        <v>1270</v>
      </c>
    </row>
    <row r="27" spans="1:2" x14ac:dyDescent="0.25">
      <c r="A27" s="59" t="s">
        <v>934</v>
      </c>
      <c r="B27" s="1" t="s">
        <v>1270</v>
      </c>
    </row>
    <row r="28" spans="1:2" x14ac:dyDescent="0.25">
      <c r="A28" s="59" t="s">
        <v>935</v>
      </c>
      <c r="B28" s="1" t="s">
        <v>1270</v>
      </c>
    </row>
    <row r="29" spans="1:2" x14ac:dyDescent="0.25">
      <c r="A29" s="59" t="s">
        <v>980</v>
      </c>
      <c r="B29" s="1" t="s">
        <v>1271</v>
      </c>
    </row>
    <row r="30" spans="1:2" x14ac:dyDescent="0.25">
      <c r="A30" s="62" t="s">
        <v>1078</v>
      </c>
      <c r="B30" s="1" t="s">
        <v>1272</v>
      </c>
    </row>
    <row r="31" spans="1:2" x14ac:dyDescent="0.25">
      <c r="A31" s="60" t="s">
        <v>1224</v>
      </c>
      <c r="B31" s="1" t="s">
        <v>1275</v>
      </c>
    </row>
    <row r="32" spans="1:2" x14ac:dyDescent="0.25">
      <c r="A32" s="59" t="s">
        <v>981</v>
      </c>
      <c r="B32" s="1" t="s">
        <v>1271</v>
      </c>
    </row>
    <row r="33" spans="1:2" x14ac:dyDescent="0.25">
      <c r="A33" s="59" t="s">
        <v>982</v>
      </c>
      <c r="B33" s="1" t="s">
        <v>1271</v>
      </c>
    </row>
    <row r="34" spans="1:2" x14ac:dyDescent="0.25">
      <c r="A34" s="60" t="s">
        <v>1225</v>
      </c>
      <c r="B34" s="1" t="s">
        <v>1275</v>
      </c>
    </row>
    <row r="35" spans="1:2" x14ac:dyDescent="0.25">
      <c r="A35" s="59" t="s">
        <v>936</v>
      </c>
      <c r="B35" s="1" t="s">
        <v>1270</v>
      </c>
    </row>
    <row r="36" spans="1:2" x14ac:dyDescent="0.25">
      <c r="A36" s="59" t="s">
        <v>937</v>
      </c>
      <c r="B36" s="1" t="s">
        <v>1270</v>
      </c>
    </row>
    <row r="37" spans="1:2" x14ac:dyDescent="0.25">
      <c r="A37" s="59" t="s">
        <v>983</v>
      </c>
      <c r="B37" s="1" t="s">
        <v>1271</v>
      </c>
    </row>
    <row r="38" spans="1:2" x14ac:dyDescent="0.25">
      <c r="A38" s="59" t="s">
        <v>938</v>
      </c>
      <c r="B38" s="1" t="s">
        <v>1270</v>
      </c>
    </row>
    <row r="39" spans="1:2" x14ac:dyDescent="0.25">
      <c r="A39" s="59" t="s">
        <v>939</v>
      </c>
      <c r="B39" s="1" t="s">
        <v>1270</v>
      </c>
    </row>
    <row r="40" spans="1:2" x14ac:dyDescent="0.25">
      <c r="A40" s="59" t="s">
        <v>940</v>
      </c>
      <c r="B40" s="1" t="s">
        <v>1270</v>
      </c>
    </row>
    <row r="41" spans="1:2" x14ac:dyDescent="0.25">
      <c r="A41" s="59" t="s">
        <v>317</v>
      </c>
      <c r="B41" s="1" t="s">
        <v>1270</v>
      </c>
    </row>
    <row r="42" spans="1:2" x14ac:dyDescent="0.25">
      <c r="A42" s="62" t="s">
        <v>1128</v>
      </c>
      <c r="B42" s="1" t="s">
        <v>1273</v>
      </c>
    </row>
    <row r="43" spans="1:2" x14ac:dyDescent="0.25">
      <c r="A43" s="59" t="s">
        <v>984</v>
      </c>
      <c r="B43" s="1" t="s">
        <v>1271</v>
      </c>
    </row>
    <row r="44" spans="1:2" x14ac:dyDescent="0.25">
      <c r="A44" s="59" t="s">
        <v>941</v>
      </c>
      <c r="B44" s="1" t="s">
        <v>1270</v>
      </c>
    </row>
    <row r="45" spans="1:2" x14ac:dyDescent="0.25">
      <c r="A45" s="60" t="s">
        <v>1161</v>
      </c>
      <c r="B45" s="1" t="s">
        <v>1274</v>
      </c>
    </row>
    <row r="46" spans="1:2" x14ac:dyDescent="0.25">
      <c r="A46" s="59" t="s">
        <v>942</v>
      </c>
      <c r="B46" s="1" t="s">
        <v>1270</v>
      </c>
    </row>
    <row r="47" spans="1:2" x14ac:dyDescent="0.25">
      <c r="A47" s="59" t="s">
        <v>985</v>
      </c>
      <c r="B47" s="1" t="s">
        <v>1271</v>
      </c>
    </row>
    <row r="48" spans="1:2" x14ac:dyDescent="0.25">
      <c r="A48" s="60" t="s">
        <v>265</v>
      </c>
      <c r="B48" s="1" t="s">
        <v>1274</v>
      </c>
    </row>
    <row r="49" spans="1:2" x14ac:dyDescent="0.25">
      <c r="A49" s="59" t="s">
        <v>986</v>
      </c>
      <c r="B49" s="1" t="s">
        <v>1271</v>
      </c>
    </row>
    <row r="50" spans="1:2" x14ac:dyDescent="0.25">
      <c r="A50" s="59" t="s">
        <v>987</v>
      </c>
      <c r="B50" s="1" t="s">
        <v>1271</v>
      </c>
    </row>
    <row r="51" spans="1:2" x14ac:dyDescent="0.25">
      <c r="A51" s="60" t="s">
        <v>1162</v>
      </c>
      <c r="B51" s="1" t="s">
        <v>1274</v>
      </c>
    </row>
    <row r="52" spans="1:2" x14ac:dyDescent="0.25">
      <c r="A52" s="59" t="s">
        <v>943</v>
      </c>
      <c r="B52" s="1" t="s">
        <v>1270</v>
      </c>
    </row>
    <row r="53" spans="1:2" x14ac:dyDescent="0.25">
      <c r="A53" s="60" t="s">
        <v>1226</v>
      </c>
      <c r="B53" s="1" t="s">
        <v>1275</v>
      </c>
    </row>
    <row r="54" spans="1:2" x14ac:dyDescent="0.25">
      <c r="A54" s="59" t="s">
        <v>988</v>
      </c>
      <c r="B54" s="1" t="s">
        <v>1271</v>
      </c>
    </row>
    <row r="55" spans="1:2" x14ac:dyDescent="0.25">
      <c r="A55" s="60" t="s">
        <v>1227</v>
      </c>
      <c r="B55" s="1" t="s">
        <v>1275</v>
      </c>
    </row>
    <row r="56" spans="1:2" x14ac:dyDescent="0.25">
      <c r="A56" s="59" t="s">
        <v>989</v>
      </c>
      <c r="B56" s="1" t="s">
        <v>1271</v>
      </c>
    </row>
    <row r="57" spans="1:2" x14ac:dyDescent="0.25">
      <c r="A57" s="60" t="s">
        <v>1163</v>
      </c>
      <c r="B57" s="1" t="s">
        <v>1274</v>
      </c>
    </row>
    <row r="58" spans="1:2" x14ac:dyDescent="0.25">
      <c r="A58" s="60" t="s">
        <v>1164</v>
      </c>
      <c r="B58" s="1" t="s">
        <v>1274</v>
      </c>
    </row>
    <row r="59" spans="1:2" x14ac:dyDescent="0.25">
      <c r="A59" s="59" t="s">
        <v>990</v>
      </c>
      <c r="B59" s="1" t="s">
        <v>1271</v>
      </c>
    </row>
    <row r="60" spans="1:2" x14ac:dyDescent="0.25">
      <c r="A60" s="59" t="s">
        <v>991</v>
      </c>
      <c r="B60" s="1" t="s">
        <v>1271</v>
      </c>
    </row>
    <row r="61" spans="1:2" x14ac:dyDescent="0.25">
      <c r="A61" s="59" t="s">
        <v>992</v>
      </c>
      <c r="B61" s="1" t="s">
        <v>1271</v>
      </c>
    </row>
    <row r="62" spans="1:2" x14ac:dyDescent="0.25">
      <c r="A62" s="59" t="s">
        <v>993</v>
      </c>
      <c r="B62" s="1" t="s">
        <v>1271</v>
      </c>
    </row>
    <row r="63" spans="1:2" x14ac:dyDescent="0.25">
      <c r="A63" s="59" t="s">
        <v>994</v>
      </c>
      <c r="B63" s="1" t="s">
        <v>1271</v>
      </c>
    </row>
    <row r="64" spans="1:2" x14ac:dyDescent="0.25">
      <c r="A64" s="59" t="s">
        <v>995</v>
      </c>
      <c r="B64" s="1" t="s">
        <v>1271</v>
      </c>
    </row>
    <row r="65" spans="1:2" x14ac:dyDescent="0.25">
      <c r="A65" s="59" t="s">
        <v>996</v>
      </c>
      <c r="B65" s="1" t="s">
        <v>1271</v>
      </c>
    </row>
    <row r="66" spans="1:2" x14ac:dyDescent="0.25">
      <c r="A66" s="59" t="s">
        <v>997</v>
      </c>
      <c r="B66" s="1" t="s">
        <v>1271</v>
      </c>
    </row>
    <row r="67" spans="1:2" x14ac:dyDescent="0.25">
      <c r="A67" s="59" t="s">
        <v>998</v>
      </c>
      <c r="B67" s="1" t="s">
        <v>1271</v>
      </c>
    </row>
    <row r="68" spans="1:2" x14ac:dyDescent="0.25">
      <c r="A68" s="59" t="s">
        <v>999</v>
      </c>
      <c r="B68" s="1" t="s">
        <v>1271</v>
      </c>
    </row>
    <row r="69" spans="1:2" x14ac:dyDescent="0.25">
      <c r="A69" s="59" t="s">
        <v>1000</v>
      </c>
      <c r="B69" s="1" t="s">
        <v>1271</v>
      </c>
    </row>
    <row r="70" spans="1:2" x14ac:dyDescent="0.25">
      <c r="A70" s="59" t="s">
        <v>1001</v>
      </c>
      <c r="B70" s="1" t="s">
        <v>1271</v>
      </c>
    </row>
    <row r="71" spans="1:2" x14ac:dyDescent="0.25">
      <c r="A71" s="59" t="s">
        <v>1002</v>
      </c>
      <c r="B71" s="1" t="s">
        <v>1271</v>
      </c>
    </row>
    <row r="72" spans="1:2" x14ac:dyDescent="0.25">
      <c r="A72" s="59" t="s">
        <v>1003</v>
      </c>
      <c r="B72" s="1" t="s">
        <v>1271</v>
      </c>
    </row>
    <row r="73" spans="1:2" x14ac:dyDescent="0.25">
      <c r="A73" s="60" t="s">
        <v>1165</v>
      </c>
      <c r="B73" s="1" t="s">
        <v>1274</v>
      </c>
    </row>
    <row r="74" spans="1:2" x14ac:dyDescent="0.25">
      <c r="A74" s="60" t="s">
        <v>1166</v>
      </c>
      <c r="B74" s="1" t="s">
        <v>1274</v>
      </c>
    </row>
    <row r="75" spans="1:2" x14ac:dyDescent="0.25">
      <c r="A75" s="60" t="s">
        <v>1228</v>
      </c>
      <c r="B75" s="1" t="s">
        <v>1275</v>
      </c>
    </row>
    <row r="76" spans="1:2" x14ac:dyDescent="0.25">
      <c r="A76" s="62" t="s">
        <v>1129</v>
      </c>
      <c r="B76" s="1" t="s">
        <v>1273</v>
      </c>
    </row>
    <row r="77" spans="1:2" x14ac:dyDescent="0.25">
      <c r="A77" s="60" t="s">
        <v>1167</v>
      </c>
      <c r="B77" s="1" t="s">
        <v>1274</v>
      </c>
    </row>
    <row r="78" spans="1:2" x14ac:dyDescent="0.25">
      <c r="A78" s="62" t="s">
        <v>1079</v>
      </c>
      <c r="B78" s="1" t="s">
        <v>1272</v>
      </c>
    </row>
    <row r="79" spans="1:2" x14ac:dyDescent="0.25">
      <c r="A79" s="59" t="s">
        <v>1004</v>
      </c>
      <c r="B79" s="1" t="s">
        <v>1271</v>
      </c>
    </row>
    <row r="80" spans="1:2" x14ac:dyDescent="0.25">
      <c r="A80" s="62" t="s">
        <v>1130</v>
      </c>
      <c r="B80" s="1" t="s">
        <v>1273</v>
      </c>
    </row>
    <row r="81" spans="1:2" x14ac:dyDescent="0.25">
      <c r="A81" s="60" t="s">
        <v>1130</v>
      </c>
      <c r="B81" s="1" t="s">
        <v>1274</v>
      </c>
    </row>
    <row r="82" spans="1:2" x14ac:dyDescent="0.25">
      <c r="A82" s="59" t="s">
        <v>944</v>
      </c>
      <c r="B82" s="1" t="s">
        <v>1270</v>
      </c>
    </row>
    <row r="83" spans="1:2" x14ac:dyDescent="0.25">
      <c r="A83" s="60" t="s">
        <v>1168</v>
      </c>
      <c r="B83" s="1" t="s">
        <v>1274</v>
      </c>
    </row>
    <row r="84" spans="1:2" x14ac:dyDescent="0.25">
      <c r="A84" s="59" t="s">
        <v>945</v>
      </c>
      <c r="B84" s="1" t="s">
        <v>1270</v>
      </c>
    </row>
    <row r="85" spans="1:2" x14ac:dyDescent="0.25">
      <c r="A85" s="59" t="s">
        <v>1005</v>
      </c>
      <c r="B85" s="1" t="s">
        <v>1271</v>
      </c>
    </row>
    <row r="86" spans="1:2" x14ac:dyDescent="0.25">
      <c r="A86" s="60" t="s">
        <v>1005</v>
      </c>
      <c r="B86" s="1" t="s">
        <v>1275</v>
      </c>
    </row>
    <row r="87" spans="1:2" x14ac:dyDescent="0.25">
      <c r="A87" s="62" t="s">
        <v>1131</v>
      </c>
      <c r="B87" s="1" t="s">
        <v>1273</v>
      </c>
    </row>
    <row r="88" spans="1:2" x14ac:dyDescent="0.25">
      <c r="A88" s="60" t="s">
        <v>1229</v>
      </c>
      <c r="B88" s="1" t="s">
        <v>1275</v>
      </c>
    </row>
    <row r="89" spans="1:2" x14ac:dyDescent="0.25">
      <c r="A89" s="59" t="s">
        <v>1006</v>
      </c>
      <c r="B89" s="1" t="s">
        <v>1271</v>
      </c>
    </row>
    <row r="90" spans="1:2" x14ac:dyDescent="0.25">
      <c r="A90" s="62" t="s">
        <v>1080</v>
      </c>
      <c r="B90" s="1" t="s">
        <v>1272</v>
      </c>
    </row>
    <row r="91" spans="1:2" x14ac:dyDescent="0.25">
      <c r="A91" s="62" t="s">
        <v>1081</v>
      </c>
      <c r="B91" s="1" t="s">
        <v>1272</v>
      </c>
    </row>
    <row r="92" spans="1:2" x14ac:dyDescent="0.25">
      <c r="A92" s="59" t="s">
        <v>946</v>
      </c>
      <c r="B92" s="1" t="s">
        <v>1270</v>
      </c>
    </row>
    <row r="93" spans="1:2" x14ac:dyDescent="0.25">
      <c r="A93" s="59" t="s">
        <v>1007</v>
      </c>
      <c r="B93" s="1" t="s">
        <v>1271</v>
      </c>
    </row>
    <row r="94" spans="1:2" x14ac:dyDescent="0.25">
      <c r="A94" s="60" t="s">
        <v>1169</v>
      </c>
      <c r="B94" s="1" t="s">
        <v>1274</v>
      </c>
    </row>
    <row r="95" spans="1:2" x14ac:dyDescent="0.25">
      <c r="A95" s="62" t="s">
        <v>1082</v>
      </c>
      <c r="B95" s="1" t="s">
        <v>1272</v>
      </c>
    </row>
    <row r="96" spans="1:2" x14ac:dyDescent="0.25">
      <c r="A96" s="59" t="s">
        <v>1008</v>
      </c>
      <c r="B96" s="1" t="s">
        <v>1271</v>
      </c>
    </row>
    <row r="97" spans="1:2" x14ac:dyDescent="0.25">
      <c r="A97" s="62" t="s">
        <v>1083</v>
      </c>
      <c r="B97" s="1" t="s">
        <v>1272</v>
      </c>
    </row>
    <row r="98" spans="1:2" x14ac:dyDescent="0.25">
      <c r="A98" s="59" t="s">
        <v>1009</v>
      </c>
      <c r="B98" s="1" t="s">
        <v>1271</v>
      </c>
    </row>
    <row r="99" spans="1:2" x14ac:dyDescent="0.25">
      <c r="A99" s="59" t="s">
        <v>1010</v>
      </c>
      <c r="B99" s="1" t="s">
        <v>1271</v>
      </c>
    </row>
    <row r="100" spans="1:2" x14ac:dyDescent="0.25">
      <c r="A100" s="60" t="s">
        <v>1230</v>
      </c>
      <c r="B100" s="1" t="s">
        <v>1275</v>
      </c>
    </row>
    <row r="101" spans="1:2" x14ac:dyDescent="0.25">
      <c r="A101" s="60" t="s">
        <v>1231</v>
      </c>
      <c r="B101" s="1" t="s">
        <v>1275</v>
      </c>
    </row>
    <row r="102" spans="1:2" x14ac:dyDescent="0.25">
      <c r="A102" s="60" t="s">
        <v>1232</v>
      </c>
      <c r="B102" s="1" t="s">
        <v>1275</v>
      </c>
    </row>
    <row r="103" spans="1:2" x14ac:dyDescent="0.25">
      <c r="A103" s="60" t="s">
        <v>1233</v>
      </c>
      <c r="B103" s="1" t="s">
        <v>1275</v>
      </c>
    </row>
    <row r="104" spans="1:2" x14ac:dyDescent="0.25">
      <c r="A104" s="62" t="s">
        <v>1391</v>
      </c>
      <c r="B104" s="1" t="s">
        <v>1272</v>
      </c>
    </row>
    <row r="105" spans="1:2" x14ac:dyDescent="0.25">
      <c r="A105" s="60" t="s">
        <v>1392</v>
      </c>
      <c r="B105" s="1" t="s">
        <v>1275</v>
      </c>
    </row>
    <row r="106" spans="1:2" x14ac:dyDescent="0.25">
      <c r="A106" s="60" t="s">
        <v>1170</v>
      </c>
      <c r="B106" s="1" t="s">
        <v>1274</v>
      </c>
    </row>
    <row r="107" spans="1:2" x14ac:dyDescent="0.25">
      <c r="A107" s="62" t="s">
        <v>1132</v>
      </c>
      <c r="B107" s="1" t="s">
        <v>1273</v>
      </c>
    </row>
    <row r="108" spans="1:2" x14ac:dyDescent="0.25">
      <c r="A108" s="59" t="s">
        <v>1011</v>
      </c>
      <c r="B108" s="1" t="s">
        <v>1271</v>
      </c>
    </row>
    <row r="109" spans="1:2" x14ac:dyDescent="0.25">
      <c r="A109" s="59" t="s">
        <v>947</v>
      </c>
      <c r="B109" s="1" t="s">
        <v>1270</v>
      </c>
    </row>
    <row r="110" spans="1:2" x14ac:dyDescent="0.25">
      <c r="A110" s="59" t="s">
        <v>948</v>
      </c>
      <c r="B110" s="1" t="s">
        <v>1270</v>
      </c>
    </row>
    <row r="111" spans="1:2" x14ac:dyDescent="0.25">
      <c r="A111" s="59" t="s">
        <v>949</v>
      </c>
      <c r="B111" s="1" t="s">
        <v>1270</v>
      </c>
    </row>
    <row r="112" spans="1:2" x14ac:dyDescent="0.25">
      <c r="A112" s="62" t="s">
        <v>1393</v>
      </c>
      <c r="B112" s="1" t="s">
        <v>1272</v>
      </c>
    </row>
    <row r="113" spans="1:2" x14ac:dyDescent="0.25">
      <c r="A113" s="60" t="s">
        <v>1394</v>
      </c>
      <c r="B113" s="1" t="s">
        <v>1275</v>
      </c>
    </row>
    <row r="114" spans="1:2" x14ac:dyDescent="0.25">
      <c r="A114" s="59" t="s">
        <v>1012</v>
      </c>
      <c r="B114" s="1" t="s">
        <v>1271</v>
      </c>
    </row>
    <row r="115" spans="1:2" x14ac:dyDescent="0.25">
      <c r="A115" s="59" t="s">
        <v>950</v>
      </c>
      <c r="B115" s="1" t="s">
        <v>1270</v>
      </c>
    </row>
    <row r="116" spans="1:2" x14ac:dyDescent="0.25">
      <c r="A116" s="59" t="s">
        <v>951</v>
      </c>
      <c r="B116" s="1" t="s">
        <v>1270</v>
      </c>
    </row>
    <row r="117" spans="1:2" x14ac:dyDescent="0.25">
      <c r="A117" s="62" t="s">
        <v>1084</v>
      </c>
      <c r="B117" s="1" t="s">
        <v>1272</v>
      </c>
    </row>
    <row r="118" spans="1:2" x14ac:dyDescent="0.25">
      <c r="A118" s="60" t="s">
        <v>1171</v>
      </c>
      <c r="B118" s="1" t="s">
        <v>1274</v>
      </c>
    </row>
    <row r="119" spans="1:2" x14ac:dyDescent="0.25">
      <c r="A119" s="59" t="s">
        <v>952</v>
      </c>
      <c r="B119" s="1" t="s">
        <v>1270</v>
      </c>
    </row>
    <row r="120" spans="1:2" x14ac:dyDescent="0.25">
      <c r="A120" s="59" t="s">
        <v>1013</v>
      </c>
      <c r="B120" s="1" t="s">
        <v>1271</v>
      </c>
    </row>
    <row r="121" spans="1:2" x14ac:dyDescent="0.25">
      <c r="A121" s="60" t="s">
        <v>1172</v>
      </c>
      <c r="B121" s="1" t="s">
        <v>1274</v>
      </c>
    </row>
    <row r="122" spans="1:2" x14ac:dyDescent="0.25">
      <c r="A122" s="60" t="s">
        <v>1173</v>
      </c>
      <c r="B122" s="1" t="s">
        <v>1274</v>
      </c>
    </row>
    <row r="123" spans="1:2" x14ac:dyDescent="0.25">
      <c r="A123" s="60" t="s">
        <v>278</v>
      </c>
      <c r="B123" s="1" t="s">
        <v>1274</v>
      </c>
    </row>
    <row r="124" spans="1:2" x14ac:dyDescent="0.25">
      <c r="A124" s="62" t="s">
        <v>1133</v>
      </c>
      <c r="B124" s="1" t="s">
        <v>1273</v>
      </c>
    </row>
    <row r="125" spans="1:2" x14ac:dyDescent="0.25">
      <c r="A125" s="59" t="s">
        <v>953</v>
      </c>
      <c r="B125" s="1" t="s">
        <v>1270</v>
      </c>
    </row>
    <row r="126" spans="1:2" x14ac:dyDescent="0.25">
      <c r="A126" s="59" t="s">
        <v>1014</v>
      </c>
      <c r="B126" s="1" t="s">
        <v>1271</v>
      </c>
    </row>
    <row r="127" spans="1:2" x14ac:dyDescent="0.25">
      <c r="A127" s="62" t="s">
        <v>1085</v>
      </c>
      <c r="B127" s="1" t="s">
        <v>1272</v>
      </c>
    </row>
    <row r="128" spans="1:2" x14ac:dyDescent="0.25">
      <c r="A128" s="60" t="s">
        <v>1174</v>
      </c>
      <c r="B128" s="1" t="s">
        <v>1274</v>
      </c>
    </row>
    <row r="129" spans="1:2" x14ac:dyDescent="0.25">
      <c r="A129" s="60" t="s">
        <v>1234</v>
      </c>
      <c r="B129" s="1" t="s">
        <v>1275</v>
      </c>
    </row>
    <row r="130" spans="1:2" x14ac:dyDescent="0.25">
      <c r="A130" s="59" t="s">
        <v>954</v>
      </c>
      <c r="B130" s="1" t="s">
        <v>1270</v>
      </c>
    </row>
    <row r="131" spans="1:2" x14ac:dyDescent="0.25">
      <c r="A131" s="60" t="s">
        <v>1175</v>
      </c>
      <c r="B131" s="1" t="s">
        <v>1274</v>
      </c>
    </row>
    <row r="132" spans="1:2" x14ac:dyDescent="0.25">
      <c r="A132" s="59" t="s">
        <v>955</v>
      </c>
      <c r="B132" s="1" t="s">
        <v>1270</v>
      </c>
    </row>
    <row r="133" spans="1:2" x14ac:dyDescent="0.25">
      <c r="A133" s="59" t="s">
        <v>956</v>
      </c>
      <c r="B133" s="1" t="s">
        <v>1270</v>
      </c>
    </row>
    <row r="134" spans="1:2" x14ac:dyDescent="0.25">
      <c r="A134" s="62" t="s">
        <v>298</v>
      </c>
      <c r="B134" s="1" t="s">
        <v>1273</v>
      </c>
    </row>
    <row r="135" spans="1:2" x14ac:dyDescent="0.25">
      <c r="A135" s="62" t="s">
        <v>1086</v>
      </c>
      <c r="B135" s="1" t="s">
        <v>1272</v>
      </c>
    </row>
    <row r="136" spans="1:2" x14ac:dyDescent="0.25">
      <c r="A136" s="60" t="s">
        <v>1176</v>
      </c>
      <c r="B136" s="1" t="s">
        <v>1274</v>
      </c>
    </row>
    <row r="137" spans="1:2" x14ac:dyDescent="0.25">
      <c r="A137" s="60" t="s">
        <v>1177</v>
      </c>
      <c r="B137" s="1" t="s">
        <v>1274</v>
      </c>
    </row>
    <row r="138" spans="1:2" x14ac:dyDescent="0.25">
      <c r="A138" s="62" t="s">
        <v>1087</v>
      </c>
      <c r="B138" s="1" t="s">
        <v>1272</v>
      </c>
    </row>
    <row r="139" spans="1:2" x14ac:dyDescent="0.25">
      <c r="A139" s="60" t="s">
        <v>1178</v>
      </c>
      <c r="B139" s="1" t="s">
        <v>1274</v>
      </c>
    </row>
    <row r="140" spans="1:2" x14ac:dyDescent="0.25">
      <c r="A140" s="60" t="s">
        <v>1179</v>
      </c>
      <c r="B140" s="1" t="s">
        <v>1274</v>
      </c>
    </row>
    <row r="141" spans="1:2" x14ac:dyDescent="0.25">
      <c r="A141" s="60" t="s">
        <v>1235</v>
      </c>
      <c r="B141" s="1" t="s">
        <v>1275</v>
      </c>
    </row>
    <row r="142" spans="1:2" x14ac:dyDescent="0.25">
      <c r="A142" s="60" t="s">
        <v>1236</v>
      </c>
      <c r="B142" s="1" t="s">
        <v>1275</v>
      </c>
    </row>
    <row r="143" spans="1:2" x14ac:dyDescent="0.25">
      <c r="A143" s="62" t="s">
        <v>1088</v>
      </c>
      <c r="B143" s="1" t="s">
        <v>1272</v>
      </c>
    </row>
    <row r="144" spans="1:2" x14ac:dyDescent="0.25">
      <c r="A144" s="60" t="s">
        <v>1180</v>
      </c>
      <c r="B144" s="1" t="s">
        <v>1274</v>
      </c>
    </row>
    <row r="145" spans="1:2" x14ac:dyDescent="0.25">
      <c r="A145" s="59" t="s">
        <v>957</v>
      </c>
      <c r="B145" s="1" t="s">
        <v>1270</v>
      </c>
    </row>
    <row r="146" spans="1:2" x14ac:dyDescent="0.25">
      <c r="A146" s="59" t="s">
        <v>958</v>
      </c>
      <c r="B146" s="1" t="s">
        <v>1270</v>
      </c>
    </row>
    <row r="147" spans="1:2" x14ac:dyDescent="0.25">
      <c r="A147" s="59" t="s">
        <v>1015</v>
      </c>
      <c r="B147" s="1" t="s">
        <v>1271</v>
      </c>
    </row>
    <row r="148" spans="1:2" x14ac:dyDescent="0.25">
      <c r="A148" s="59" t="s">
        <v>1016</v>
      </c>
      <c r="B148" s="1" t="s">
        <v>1271</v>
      </c>
    </row>
    <row r="149" spans="1:2" x14ac:dyDescent="0.25">
      <c r="A149" s="59" t="s">
        <v>1017</v>
      </c>
      <c r="B149" s="1" t="s">
        <v>1271</v>
      </c>
    </row>
    <row r="150" spans="1:2" x14ac:dyDescent="0.25">
      <c r="A150" s="59" t="s">
        <v>1018</v>
      </c>
      <c r="B150" s="1" t="s">
        <v>1271</v>
      </c>
    </row>
    <row r="151" spans="1:2" x14ac:dyDescent="0.25">
      <c r="A151" s="59" t="s">
        <v>1019</v>
      </c>
      <c r="B151" s="1" t="s">
        <v>1271</v>
      </c>
    </row>
    <row r="152" spans="1:2" x14ac:dyDescent="0.25">
      <c r="A152" s="59" t="s">
        <v>1020</v>
      </c>
      <c r="B152" s="1" t="s">
        <v>1271</v>
      </c>
    </row>
    <row r="153" spans="1:2" x14ac:dyDescent="0.25">
      <c r="A153" s="60" t="s">
        <v>1181</v>
      </c>
      <c r="B153" s="1" t="s">
        <v>1274</v>
      </c>
    </row>
    <row r="154" spans="1:2" x14ac:dyDescent="0.25">
      <c r="A154" s="60" t="s">
        <v>196</v>
      </c>
      <c r="B154" s="1" t="s">
        <v>1275</v>
      </c>
    </row>
    <row r="155" spans="1:2" x14ac:dyDescent="0.25">
      <c r="A155" s="60" t="s">
        <v>1182</v>
      </c>
      <c r="B155" s="1" t="s">
        <v>1274</v>
      </c>
    </row>
    <row r="156" spans="1:2" x14ac:dyDescent="0.25">
      <c r="A156" s="59" t="s">
        <v>1395</v>
      </c>
      <c r="B156" s="1" t="s">
        <v>1271</v>
      </c>
    </row>
    <row r="157" spans="1:2" x14ac:dyDescent="0.25">
      <c r="A157" s="60" t="s">
        <v>1396</v>
      </c>
      <c r="B157" s="1" t="s">
        <v>1274</v>
      </c>
    </row>
    <row r="158" spans="1:2" x14ac:dyDescent="0.25">
      <c r="A158" s="60" t="s">
        <v>1397</v>
      </c>
      <c r="B158" s="1" t="s">
        <v>1275</v>
      </c>
    </row>
    <row r="159" spans="1:2" x14ac:dyDescent="0.25">
      <c r="A159" s="62" t="s">
        <v>1134</v>
      </c>
      <c r="B159" s="1" t="s">
        <v>1273</v>
      </c>
    </row>
    <row r="160" spans="1:2" x14ac:dyDescent="0.25">
      <c r="A160" s="62" t="s">
        <v>1398</v>
      </c>
      <c r="B160" s="1" t="s">
        <v>1272</v>
      </c>
    </row>
    <row r="161" spans="1:2" x14ac:dyDescent="0.25">
      <c r="A161" s="62" t="s">
        <v>1399</v>
      </c>
      <c r="B161" s="1" t="s">
        <v>1273</v>
      </c>
    </row>
    <row r="162" spans="1:2" x14ac:dyDescent="0.25">
      <c r="A162" s="60" t="s">
        <v>1400</v>
      </c>
      <c r="B162" s="1" t="s">
        <v>1275</v>
      </c>
    </row>
    <row r="163" spans="1:2" x14ac:dyDescent="0.25">
      <c r="A163" s="62" t="s">
        <v>1089</v>
      </c>
      <c r="B163" s="1" t="s">
        <v>1272</v>
      </c>
    </row>
    <row r="164" spans="1:2" x14ac:dyDescent="0.25">
      <c r="A164" s="59" t="s">
        <v>959</v>
      </c>
      <c r="B164" s="1" t="s">
        <v>1270</v>
      </c>
    </row>
    <row r="165" spans="1:2" x14ac:dyDescent="0.25">
      <c r="A165" s="60" t="s">
        <v>1183</v>
      </c>
      <c r="B165" s="1" t="s">
        <v>1274</v>
      </c>
    </row>
    <row r="166" spans="1:2" x14ac:dyDescent="0.25">
      <c r="A166" s="62" t="s">
        <v>1090</v>
      </c>
      <c r="B166" s="1" t="s">
        <v>1272</v>
      </c>
    </row>
    <row r="167" spans="1:2" x14ac:dyDescent="0.25">
      <c r="A167" s="59" t="s">
        <v>1021</v>
      </c>
      <c r="B167" s="1" t="s">
        <v>1271</v>
      </c>
    </row>
    <row r="168" spans="1:2" x14ac:dyDescent="0.25">
      <c r="A168" s="60" t="s">
        <v>1184</v>
      </c>
      <c r="B168" s="1" t="s">
        <v>1274</v>
      </c>
    </row>
    <row r="169" spans="1:2" x14ac:dyDescent="0.25">
      <c r="A169" s="62" t="s">
        <v>1135</v>
      </c>
      <c r="B169" s="1" t="s">
        <v>1273</v>
      </c>
    </row>
    <row r="170" spans="1:2" x14ac:dyDescent="0.25">
      <c r="A170" s="62" t="s">
        <v>1136</v>
      </c>
      <c r="B170" s="1" t="s">
        <v>1273</v>
      </c>
    </row>
    <row r="171" spans="1:2" x14ac:dyDescent="0.25">
      <c r="A171" s="60" t="s">
        <v>1237</v>
      </c>
      <c r="B171" s="1" t="s">
        <v>1275</v>
      </c>
    </row>
    <row r="172" spans="1:2" x14ac:dyDescent="0.25">
      <c r="A172" s="59" t="s">
        <v>960</v>
      </c>
      <c r="B172" s="1" t="s">
        <v>1270</v>
      </c>
    </row>
    <row r="173" spans="1:2" x14ac:dyDescent="0.25">
      <c r="A173" s="62" t="s">
        <v>172</v>
      </c>
      <c r="B173" s="1" t="s">
        <v>1273</v>
      </c>
    </row>
    <row r="174" spans="1:2" x14ac:dyDescent="0.25">
      <c r="A174" s="62" t="s">
        <v>1137</v>
      </c>
      <c r="B174" s="1" t="s">
        <v>1273</v>
      </c>
    </row>
    <row r="175" spans="1:2" x14ac:dyDescent="0.25">
      <c r="A175" s="59" t="s">
        <v>1022</v>
      </c>
      <c r="B175" s="1" t="s">
        <v>1271</v>
      </c>
    </row>
    <row r="176" spans="1:2" x14ac:dyDescent="0.25">
      <c r="A176" s="59" t="s">
        <v>1023</v>
      </c>
      <c r="B176" s="1" t="s">
        <v>1271</v>
      </c>
    </row>
    <row r="177" spans="1:2" x14ac:dyDescent="0.25">
      <c r="A177" s="59" t="s">
        <v>1024</v>
      </c>
      <c r="B177" s="1" t="s">
        <v>1271</v>
      </c>
    </row>
    <row r="178" spans="1:2" x14ac:dyDescent="0.25">
      <c r="A178" s="59" t="s">
        <v>1025</v>
      </c>
      <c r="B178" s="1" t="s">
        <v>1271</v>
      </c>
    </row>
    <row r="179" spans="1:2" x14ac:dyDescent="0.25">
      <c r="A179" s="60" t="s">
        <v>1185</v>
      </c>
      <c r="B179" s="1" t="s">
        <v>1274</v>
      </c>
    </row>
    <row r="180" spans="1:2" x14ac:dyDescent="0.25">
      <c r="A180" s="59" t="s">
        <v>1026</v>
      </c>
      <c r="B180" s="1" t="s">
        <v>1271</v>
      </c>
    </row>
    <row r="181" spans="1:2" x14ac:dyDescent="0.25">
      <c r="A181" s="60" t="s">
        <v>1186</v>
      </c>
      <c r="B181" s="1" t="s">
        <v>1274</v>
      </c>
    </row>
    <row r="182" spans="1:2" x14ac:dyDescent="0.25">
      <c r="A182" s="59" t="s">
        <v>1027</v>
      </c>
      <c r="B182" s="1" t="s">
        <v>1271</v>
      </c>
    </row>
    <row r="183" spans="1:2" x14ac:dyDescent="0.25">
      <c r="A183" s="59" t="s">
        <v>1028</v>
      </c>
      <c r="B183" s="1" t="s">
        <v>1271</v>
      </c>
    </row>
    <row r="184" spans="1:2" x14ac:dyDescent="0.25">
      <c r="A184" s="59" t="s">
        <v>1029</v>
      </c>
      <c r="B184" s="1" t="s">
        <v>1271</v>
      </c>
    </row>
    <row r="185" spans="1:2" x14ac:dyDescent="0.25">
      <c r="A185" s="59" t="s">
        <v>1030</v>
      </c>
      <c r="B185" s="1" t="s">
        <v>1271</v>
      </c>
    </row>
    <row r="186" spans="1:2" x14ac:dyDescent="0.25">
      <c r="A186" s="59" t="s">
        <v>1031</v>
      </c>
      <c r="B186" s="1" t="s">
        <v>1271</v>
      </c>
    </row>
    <row r="187" spans="1:2" x14ac:dyDescent="0.25">
      <c r="A187" s="59" t="s">
        <v>1032</v>
      </c>
      <c r="B187" s="1" t="s">
        <v>1271</v>
      </c>
    </row>
    <row r="188" spans="1:2" ht="21" customHeight="1" x14ac:dyDescent="0.25">
      <c r="A188" s="60" t="s">
        <v>1238</v>
      </c>
      <c r="B188" s="1" t="s">
        <v>1275</v>
      </c>
    </row>
    <row r="189" spans="1:2" x14ac:dyDescent="0.25">
      <c r="A189" s="62" t="s">
        <v>1138</v>
      </c>
      <c r="B189" s="1" t="s">
        <v>1273</v>
      </c>
    </row>
    <row r="190" spans="1:2" x14ac:dyDescent="0.25">
      <c r="A190" s="59" t="s">
        <v>961</v>
      </c>
      <c r="B190" s="1" t="s">
        <v>1270</v>
      </c>
    </row>
    <row r="191" spans="1:2" x14ac:dyDescent="0.25">
      <c r="A191" s="60" t="s">
        <v>1239</v>
      </c>
      <c r="B191" s="1" t="s">
        <v>1275</v>
      </c>
    </row>
    <row r="192" spans="1:2" x14ac:dyDescent="0.25">
      <c r="A192" s="59" t="s">
        <v>962</v>
      </c>
      <c r="B192" s="1" t="s">
        <v>1270</v>
      </c>
    </row>
    <row r="193" spans="1:2" x14ac:dyDescent="0.25">
      <c r="A193" s="60" t="s">
        <v>1240</v>
      </c>
      <c r="B193" s="1" t="s">
        <v>1275</v>
      </c>
    </row>
    <row r="194" spans="1:2" x14ac:dyDescent="0.25">
      <c r="A194" s="60" t="s">
        <v>1187</v>
      </c>
      <c r="B194" s="1" t="s">
        <v>1274</v>
      </c>
    </row>
    <row r="195" spans="1:2" x14ac:dyDescent="0.25">
      <c r="A195" s="62" t="s">
        <v>1139</v>
      </c>
      <c r="B195" s="1" t="s">
        <v>1273</v>
      </c>
    </row>
    <row r="196" spans="1:2" x14ac:dyDescent="0.25">
      <c r="A196" s="60" t="s">
        <v>1401</v>
      </c>
      <c r="B196" s="1" t="s">
        <v>1274</v>
      </c>
    </row>
    <row r="197" spans="1:2" x14ac:dyDescent="0.25">
      <c r="A197" s="60" t="s">
        <v>1402</v>
      </c>
      <c r="B197" s="1" t="s">
        <v>1275</v>
      </c>
    </row>
    <row r="198" spans="1:2" x14ac:dyDescent="0.25">
      <c r="A198" s="60" t="s">
        <v>1188</v>
      </c>
      <c r="B198" s="1" t="s">
        <v>1274</v>
      </c>
    </row>
    <row r="199" spans="1:2" x14ac:dyDescent="0.25">
      <c r="A199" s="60" t="s">
        <v>1189</v>
      </c>
      <c r="B199" s="1" t="s">
        <v>1274</v>
      </c>
    </row>
    <row r="200" spans="1:2" x14ac:dyDescent="0.25">
      <c r="A200" s="62" t="s">
        <v>1091</v>
      </c>
      <c r="B200" s="1" t="s">
        <v>1272</v>
      </c>
    </row>
    <row r="201" spans="1:2" x14ac:dyDescent="0.25">
      <c r="A201" s="59" t="s">
        <v>963</v>
      </c>
      <c r="B201" s="1" t="s">
        <v>1270</v>
      </c>
    </row>
    <row r="202" spans="1:2" x14ac:dyDescent="0.25">
      <c r="A202" s="62" t="s">
        <v>1403</v>
      </c>
      <c r="B202" s="1" t="s">
        <v>1272</v>
      </c>
    </row>
    <row r="203" spans="1:2" x14ac:dyDescent="0.25">
      <c r="A203" s="62" t="s">
        <v>1092</v>
      </c>
      <c r="B203" s="1" t="s">
        <v>1273</v>
      </c>
    </row>
    <row r="204" spans="1:2" x14ac:dyDescent="0.25">
      <c r="A204" s="62" t="s">
        <v>1404</v>
      </c>
      <c r="B204" s="1" t="s">
        <v>1272</v>
      </c>
    </row>
    <row r="205" spans="1:2" x14ac:dyDescent="0.25">
      <c r="A205" s="60" t="s">
        <v>1093</v>
      </c>
      <c r="B205" s="1" t="s">
        <v>1275</v>
      </c>
    </row>
    <row r="206" spans="1:2" x14ac:dyDescent="0.25">
      <c r="A206" s="62" t="s">
        <v>1094</v>
      </c>
      <c r="B206" s="1" t="s">
        <v>1272</v>
      </c>
    </row>
    <row r="207" spans="1:2" x14ac:dyDescent="0.25">
      <c r="A207" s="62" t="s">
        <v>1095</v>
      </c>
      <c r="B207" s="1" t="s">
        <v>1272</v>
      </c>
    </row>
    <row r="208" spans="1:2" x14ac:dyDescent="0.25">
      <c r="A208" s="59" t="s">
        <v>1033</v>
      </c>
      <c r="B208" s="1" t="s">
        <v>1271</v>
      </c>
    </row>
    <row r="209" spans="1:2" x14ac:dyDescent="0.25">
      <c r="A209" s="60" t="s">
        <v>1241</v>
      </c>
      <c r="B209" s="1" t="s">
        <v>1275</v>
      </c>
    </row>
    <row r="210" spans="1:2" x14ac:dyDescent="0.25">
      <c r="A210" s="60" t="s">
        <v>1190</v>
      </c>
      <c r="B210" s="1" t="s">
        <v>1274</v>
      </c>
    </row>
    <row r="211" spans="1:2" x14ac:dyDescent="0.25">
      <c r="A211" s="59" t="s">
        <v>1034</v>
      </c>
      <c r="B211" s="1" t="s">
        <v>1271</v>
      </c>
    </row>
    <row r="212" spans="1:2" x14ac:dyDescent="0.25">
      <c r="A212" s="59" t="s">
        <v>1035</v>
      </c>
      <c r="B212" s="1" t="s">
        <v>1271</v>
      </c>
    </row>
    <row r="213" spans="1:2" x14ac:dyDescent="0.25">
      <c r="A213" s="59" t="s">
        <v>1036</v>
      </c>
      <c r="B213" s="1" t="s">
        <v>1271</v>
      </c>
    </row>
    <row r="214" spans="1:2" x14ac:dyDescent="0.25">
      <c r="A214" s="59" t="s">
        <v>1037</v>
      </c>
      <c r="B214" s="1" t="s">
        <v>1271</v>
      </c>
    </row>
    <row r="215" spans="1:2" x14ac:dyDescent="0.25">
      <c r="A215" s="59" t="s">
        <v>1038</v>
      </c>
      <c r="B215" s="1" t="s">
        <v>1271</v>
      </c>
    </row>
    <row r="216" spans="1:2" x14ac:dyDescent="0.25">
      <c r="A216" s="59" t="s">
        <v>1039</v>
      </c>
      <c r="B216" s="1" t="s">
        <v>1271</v>
      </c>
    </row>
    <row r="217" spans="1:2" x14ac:dyDescent="0.25">
      <c r="A217" s="59" t="s">
        <v>1040</v>
      </c>
      <c r="B217" s="1" t="s">
        <v>1271</v>
      </c>
    </row>
    <row r="218" spans="1:2" x14ac:dyDescent="0.25">
      <c r="A218" s="62" t="s">
        <v>1096</v>
      </c>
      <c r="B218" s="1" t="s">
        <v>1272</v>
      </c>
    </row>
    <row r="219" spans="1:2" x14ac:dyDescent="0.25">
      <c r="A219" s="62" t="s">
        <v>1097</v>
      </c>
      <c r="B219" s="1" t="s">
        <v>1272</v>
      </c>
    </row>
    <row r="220" spans="1:2" x14ac:dyDescent="0.25">
      <c r="A220" s="60" t="s">
        <v>1242</v>
      </c>
      <c r="B220" s="1" t="s">
        <v>1275</v>
      </c>
    </row>
    <row r="221" spans="1:2" x14ac:dyDescent="0.25">
      <c r="A221" s="60" t="s">
        <v>1243</v>
      </c>
      <c r="B221" s="1" t="s">
        <v>1275</v>
      </c>
    </row>
    <row r="222" spans="1:2" x14ac:dyDescent="0.25">
      <c r="A222" s="62" t="s">
        <v>1098</v>
      </c>
      <c r="B222" s="1" t="s">
        <v>1272</v>
      </c>
    </row>
    <row r="223" spans="1:2" x14ac:dyDescent="0.25">
      <c r="A223" s="59" t="s">
        <v>1041</v>
      </c>
      <c r="B223" s="1" t="s">
        <v>1271</v>
      </c>
    </row>
    <row r="224" spans="1:2" x14ac:dyDescent="0.25">
      <c r="A224" s="62" t="s">
        <v>1041</v>
      </c>
      <c r="B224" s="1" t="s">
        <v>1273</v>
      </c>
    </row>
    <row r="225" spans="1:2" x14ac:dyDescent="0.25">
      <c r="A225" s="60" t="s">
        <v>1041</v>
      </c>
      <c r="B225" s="1" t="s">
        <v>1274</v>
      </c>
    </row>
    <row r="226" spans="1:2" x14ac:dyDescent="0.25">
      <c r="A226" s="59" t="s">
        <v>1042</v>
      </c>
      <c r="B226" s="1" t="s">
        <v>1271</v>
      </c>
    </row>
    <row r="227" spans="1:2" x14ac:dyDescent="0.25">
      <c r="A227" s="62" t="s">
        <v>1042</v>
      </c>
      <c r="B227" s="1" t="s">
        <v>1273</v>
      </c>
    </row>
    <row r="228" spans="1:2" x14ac:dyDescent="0.25">
      <c r="A228" s="60" t="s">
        <v>1042</v>
      </c>
      <c r="B228" s="1" t="s">
        <v>1274</v>
      </c>
    </row>
    <row r="229" spans="1:2" x14ac:dyDescent="0.25">
      <c r="A229" s="59" t="s">
        <v>1043</v>
      </c>
      <c r="B229" s="1" t="s">
        <v>1271</v>
      </c>
    </row>
    <row r="230" spans="1:2" x14ac:dyDescent="0.25">
      <c r="A230" s="59" t="s">
        <v>1044</v>
      </c>
      <c r="B230" s="1" t="s">
        <v>1271</v>
      </c>
    </row>
    <row r="231" spans="1:2" x14ac:dyDescent="0.25">
      <c r="A231" s="62" t="s">
        <v>1405</v>
      </c>
      <c r="B231" s="1" t="s">
        <v>1272</v>
      </c>
    </row>
    <row r="232" spans="1:2" x14ac:dyDescent="0.25">
      <c r="A232" s="60" t="s">
        <v>1099</v>
      </c>
      <c r="B232" s="1" t="s">
        <v>1275</v>
      </c>
    </row>
    <row r="233" spans="1:2" x14ac:dyDescent="0.25">
      <c r="A233" s="62" t="s">
        <v>1100</v>
      </c>
      <c r="B233" s="1" t="s">
        <v>1272</v>
      </c>
    </row>
    <row r="234" spans="1:2" x14ac:dyDescent="0.25">
      <c r="A234" s="60" t="s">
        <v>1191</v>
      </c>
      <c r="B234" s="1" t="s">
        <v>1274</v>
      </c>
    </row>
    <row r="235" spans="1:2" x14ac:dyDescent="0.25">
      <c r="A235" s="60" t="s">
        <v>1192</v>
      </c>
      <c r="B235" s="1" t="s">
        <v>1274</v>
      </c>
    </row>
    <row r="236" spans="1:2" x14ac:dyDescent="0.25">
      <c r="A236" s="59" t="s">
        <v>964</v>
      </c>
      <c r="B236" s="1" t="s">
        <v>1270</v>
      </c>
    </row>
    <row r="237" spans="1:2" x14ac:dyDescent="0.25">
      <c r="A237" s="60" t="s">
        <v>1193</v>
      </c>
      <c r="B237" s="1" t="s">
        <v>1274</v>
      </c>
    </row>
    <row r="238" spans="1:2" x14ac:dyDescent="0.25">
      <c r="A238" s="60" t="s">
        <v>1194</v>
      </c>
      <c r="B238" s="1" t="s">
        <v>1274</v>
      </c>
    </row>
    <row r="239" spans="1:2" x14ac:dyDescent="0.25">
      <c r="A239" s="62" t="s">
        <v>1140</v>
      </c>
      <c r="B239" s="1" t="s">
        <v>1273</v>
      </c>
    </row>
    <row r="240" spans="1:2" x14ac:dyDescent="0.25">
      <c r="A240" s="60" t="s">
        <v>1195</v>
      </c>
      <c r="B240" s="1" t="s">
        <v>1274</v>
      </c>
    </row>
    <row r="241" spans="1:2" x14ac:dyDescent="0.25">
      <c r="A241" s="60" t="s">
        <v>1244</v>
      </c>
      <c r="B241" s="1" t="s">
        <v>1275</v>
      </c>
    </row>
    <row r="242" spans="1:2" x14ac:dyDescent="0.25">
      <c r="A242" s="62" t="s">
        <v>1101</v>
      </c>
      <c r="B242" s="1" t="s">
        <v>1272</v>
      </c>
    </row>
    <row r="243" spans="1:2" x14ac:dyDescent="0.25">
      <c r="A243" s="59" t="s">
        <v>1045</v>
      </c>
      <c r="B243" s="1" t="s">
        <v>1271</v>
      </c>
    </row>
    <row r="244" spans="1:2" x14ac:dyDescent="0.25">
      <c r="A244" s="62" t="s">
        <v>1141</v>
      </c>
      <c r="B244" s="1" t="s">
        <v>1273</v>
      </c>
    </row>
    <row r="245" spans="1:2" x14ac:dyDescent="0.25">
      <c r="A245" s="62" t="s">
        <v>1142</v>
      </c>
      <c r="B245" s="1" t="s">
        <v>1273</v>
      </c>
    </row>
    <row r="246" spans="1:2" x14ac:dyDescent="0.25">
      <c r="A246" s="59" t="s">
        <v>965</v>
      </c>
      <c r="B246" s="1" t="s">
        <v>1270</v>
      </c>
    </row>
    <row r="247" spans="1:2" x14ac:dyDescent="0.25">
      <c r="A247" s="59" t="s">
        <v>966</v>
      </c>
      <c r="B247" s="1" t="s">
        <v>1270</v>
      </c>
    </row>
    <row r="248" spans="1:2" x14ac:dyDescent="0.25">
      <c r="A248" s="59" t="s">
        <v>967</v>
      </c>
      <c r="B248" s="1" t="s">
        <v>1270</v>
      </c>
    </row>
    <row r="249" spans="1:2" x14ac:dyDescent="0.25">
      <c r="A249" s="59" t="s">
        <v>968</v>
      </c>
      <c r="B249" s="1" t="s">
        <v>1270</v>
      </c>
    </row>
    <row r="250" spans="1:2" x14ac:dyDescent="0.25">
      <c r="A250" s="59" t="s">
        <v>969</v>
      </c>
      <c r="B250" s="1" t="s">
        <v>1270</v>
      </c>
    </row>
    <row r="251" spans="1:2" x14ac:dyDescent="0.25">
      <c r="A251" s="59" t="s">
        <v>970</v>
      </c>
      <c r="B251" s="1" t="s">
        <v>1270</v>
      </c>
    </row>
    <row r="252" spans="1:2" x14ac:dyDescent="0.25">
      <c r="A252" s="59" t="s">
        <v>971</v>
      </c>
      <c r="B252" s="1" t="s">
        <v>1270</v>
      </c>
    </row>
    <row r="253" spans="1:2" x14ac:dyDescent="0.25">
      <c r="A253" s="59" t="s">
        <v>1046</v>
      </c>
      <c r="B253" s="1" t="s">
        <v>1271</v>
      </c>
    </row>
    <row r="254" spans="1:2" x14ac:dyDescent="0.25">
      <c r="A254" s="59" t="s">
        <v>1047</v>
      </c>
      <c r="B254" s="1" t="s">
        <v>1271</v>
      </c>
    </row>
    <row r="255" spans="1:2" x14ac:dyDescent="0.25">
      <c r="A255" s="59" t="s">
        <v>1048</v>
      </c>
      <c r="B255" s="1" t="s">
        <v>1271</v>
      </c>
    </row>
    <row r="256" spans="1:2" x14ac:dyDescent="0.25">
      <c r="A256" s="59" t="s">
        <v>1049</v>
      </c>
      <c r="B256" s="1" t="s">
        <v>1271</v>
      </c>
    </row>
    <row r="257" spans="1:2" x14ac:dyDescent="0.25">
      <c r="A257" s="59" t="s">
        <v>1050</v>
      </c>
      <c r="B257" s="1" t="s">
        <v>1271</v>
      </c>
    </row>
    <row r="258" spans="1:2" x14ac:dyDescent="0.25">
      <c r="A258" s="59" t="s">
        <v>1051</v>
      </c>
      <c r="B258" s="1" t="s">
        <v>1271</v>
      </c>
    </row>
    <row r="259" spans="1:2" x14ac:dyDescent="0.25">
      <c r="A259" s="59" t="s">
        <v>1052</v>
      </c>
      <c r="B259" s="1" t="s">
        <v>1271</v>
      </c>
    </row>
    <row r="260" spans="1:2" x14ac:dyDescent="0.25">
      <c r="A260" s="60" t="s">
        <v>972</v>
      </c>
      <c r="B260" s="1" t="s">
        <v>1270</v>
      </c>
    </row>
    <row r="261" spans="1:2" x14ac:dyDescent="0.25">
      <c r="A261" s="59" t="s">
        <v>1053</v>
      </c>
      <c r="B261" s="1" t="s">
        <v>1271</v>
      </c>
    </row>
    <row r="262" spans="1:2" x14ac:dyDescent="0.25">
      <c r="A262" s="62" t="s">
        <v>1102</v>
      </c>
      <c r="B262" s="1" t="s">
        <v>1272</v>
      </c>
    </row>
    <row r="263" spans="1:2" x14ac:dyDescent="0.25">
      <c r="A263" s="60" t="s">
        <v>1196</v>
      </c>
      <c r="B263" s="1" t="s">
        <v>1274</v>
      </c>
    </row>
    <row r="264" spans="1:2" x14ac:dyDescent="0.25">
      <c r="A264" s="60" t="s">
        <v>1197</v>
      </c>
      <c r="B264" s="1" t="s">
        <v>1274</v>
      </c>
    </row>
    <row r="265" spans="1:2" x14ac:dyDescent="0.25">
      <c r="A265" s="60" t="s">
        <v>1198</v>
      </c>
      <c r="B265" s="1" t="s">
        <v>1274</v>
      </c>
    </row>
    <row r="266" spans="1:2" x14ac:dyDescent="0.25">
      <c r="A266" s="62" t="s">
        <v>1199</v>
      </c>
      <c r="B266" s="1" t="s">
        <v>1274</v>
      </c>
    </row>
    <row r="267" spans="1:2" x14ac:dyDescent="0.25">
      <c r="A267" s="62" t="s">
        <v>1103</v>
      </c>
      <c r="B267" s="1" t="s">
        <v>1272</v>
      </c>
    </row>
    <row r="268" spans="1:2" x14ac:dyDescent="0.25">
      <c r="A268" s="62" t="s">
        <v>1105</v>
      </c>
      <c r="B268" s="1" t="s">
        <v>1272</v>
      </c>
    </row>
    <row r="269" spans="1:2" x14ac:dyDescent="0.25">
      <c r="A269" s="62" t="s">
        <v>1104</v>
      </c>
      <c r="B269" s="1" t="s">
        <v>1272</v>
      </c>
    </row>
    <row r="270" spans="1:2" x14ac:dyDescent="0.25">
      <c r="A270" s="62" t="s">
        <v>1106</v>
      </c>
      <c r="B270" s="1" t="s">
        <v>1272</v>
      </c>
    </row>
    <row r="271" spans="1:2" x14ac:dyDescent="0.25">
      <c r="A271" s="62" t="s">
        <v>1107</v>
      </c>
      <c r="B271" s="1" t="s">
        <v>1272</v>
      </c>
    </row>
    <row r="272" spans="1:2" x14ac:dyDescent="0.25">
      <c r="A272" s="63" t="s">
        <v>1108</v>
      </c>
      <c r="B272" s="1" t="s">
        <v>1272</v>
      </c>
    </row>
    <row r="273" spans="1:2" x14ac:dyDescent="0.25">
      <c r="A273" s="62" t="s">
        <v>1109</v>
      </c>
      <c r="B273" s="1" t="s">
        <v>1272</v>
      </c>
    </row>
    <row r="274" spans="1:2" x14ac:dyDescent="0.25">
      <c r="A274" s="62" t="s">
        <v>1110</v>
      </c>
      <c r="B274" s="1" t="s">
        <v>1272</v>
      </c>
    </row>
    <row r="275" spans="1:2" x14ac:dyDescent="0.25">
      <c r="A275" s="62" t="s">
        <v>1111</v>
      </c>
      <c r="B275" s="1" t="s">
        <v>1272</v>
      </c>
    </row>
    <row r="276" spans="1:2" x14ac:dyDescent="0.25">
      <c r="A276" s="62" t="s">
        <v>1112</v>
      </c>
      <c r="B276" s="1" t="s">
        <v>1272</v>
      </c>
    </row>
    <row r="277" spans="1:2" x14ac:dyDescent="0.25">
      <c r="A277" s="62" t="s">
        <v>1113</v>
      </c>
      <c r="B277" s="1" t="s">
        <v>1272</v>
      </c>
    </row>
    <row r="278" spans="1:2" x14ac:dyDescent="0.25">
      <c r="A278" s="62" t="s">
        <v>1114</v>
      </c>
      <c r="B278" s="1" t="s">
        <v>1272</v>
      </c>
    </row>
    <row r="279" spans="1:2" x14ac:dyDescent="0.25">
      <c r="A279" s="62" t="s">
        <v>1115</v>
      </c>
      <c r="B279" s="1" t="s">
        <v>1272</v>
      </c>
    </row>
    <row r="280" spans="1:2" x14ac:dyDescent="0.25">
      <c r="A280" s="62" t="s">
        <v>1116</v>
      </c>
      <c r="B280" s="1" t="s">
        <v>1272</v>
      </c>
    </row>
    <row r="281" spans="1:2" x14ac:dyDescent="0.25">
      <c r="A281" s="62" t="s">
        <v>1117</v>
      </c>
      <c r="B281" s="1" t="s">
        <v>1272</v>
      </c>
    </row>
    <row r="282" spans="1:2" x14ac:dyDescent="0.25">
      <c r="A282" s="62" t="s">
        <v>1118</v>
      </c>
      <c r="B282" s="1" t="s">
        <v>1272</v>
      </c>
    </row>
    <row r="283" spans="1:2" x14ac:dyDescent="0.25">
      <c r="A283" s="62" t="s">
        <v>1119</v>
      </c>
      <c r="B283" s="1" t="s">
        <v>1272</v>
      </c>
    </row>
    <row r="284" spans="1:2" x14ac:dyDescent="0.25">
      <c r="A284" s="62" t="s">
        <v>1120</v>
      </c>
      <c r="B284" s="1" t="s">
        <v>1272</v>
      </c>
    </row>
    <row r="285" spans="1:2" x14ac:dyDescent="0.25">
      <c r="A285" s="62" t="s">
        <v>1121</v>
      </c>
      <c r="B285" s="1" t="s">
        <v>1272</v>
      </c>
    </row>
    <row r="286" spans="1:2" x14ac:dyDescent="0.25">
      <c r="A286" s="62" t="s">
        <v>1122</v>
      </c>
      <c r="B286" s="1" t="s">
        <v>1272</v>
      </c>
    </row>
    <row r="287" spans="1:2" x14ac:dyDescent="0.25">
      <c r="A287" s="60" t="s">
        <v>1200</v>
      </c>
      <c r="B287" s="1" t="s">
        <v>1274</v>
      </c>
    </row>
    <row r="288" spans="1:2" x14ac:dyDescent="0.25">
      <c r="A288" s="60" t="s">
        <v>1201</v>
      </c>
      <c r="B288" s="1" t="s">
        <v>1274</v>
      </c>
    </row>
    <row r="289" spans="1:2" x14ac:dyDescent="0.25">
      <c r="A289" s="60" t="s">
        <v>1202</v>
      </c>
      <c r="B289" s="1" t="s">
        <v>1274</v>
      </c>
    </row>
    <row r="290" spans="1:2" x14ac:dyDescent="0.25">
      <c r="A290" s="62" t="s">
        <v>1203</v>
      </c>
      <c r="B290" s="1" t="s">
        <v>1274</v>
      </c>
    </row>
    <row r="291" spans="1:2" x14ac:dyDescent="0.25">
      <c r="A291" s="62" t="s">
        <v>1204</v>
      </c>
      <c r="B291" s="1" t="s">
        <v>1274</v>
      </c>
    </row>
    <row r="292" spans="1:2" x14ac:dyDescent="0.25">
      <c r="A292" s="62" t="s">
        <v>1205</v>
      </c>
      <c r="B292" s="1" t="s">
        <v>1274</v>
      </c>
    </row>
    <row r="293" spans="1:2" x14ac:dyDescent="0.25">
      <c r="A293" s="62" t="s">
        <v>1206</v>
      </c>
      <c r="B293" s="1" t="s">
        <v>1274</v>
      </c>
    </row>
    <row r="294" spans="1:2" x14ac:dyDescent="0.25">
      <c r="A294" s="60" t="s">
        <v>1207</v>
      </c>
      <c r="B294" s="1" t="s">
        <v>1274</v>
      </c>
    </row>
    <row r="295" spans="1:2" x14ac:dyDescent="0.25">
      <c r="A295" s="60" t="s">
        <v>1208</v>
      </c>
      <c r="B295" s="1" t="s">
        <v>1274</v>
      </c>
    </row>
    <row r="296" spans="1:2" x14ac:dyDescent="0.25">
      <c r="A296" s="60" t="s">
        <v>1209</v>
      </c>
      <c r="B296" s="1" t="s">
        <v>1274</v>
      </c>
    </row>
    <row r="297" spans="1:2" x14ac:dyDescent="0.25">
      <c r="A297" s="60" t="s">
        <v>1210</v>
      </c>
      <c r="B297" s="1" t="s">
        <v>1274</v>
      </c>
    </row>
    <row r="298" spans="1:2" x14ac:dyDescent="0.25">
      <c r="A298" s="59" t="s">
        <v>1054</v>
      </c>
      <c r="B298" s="1" t="s">
        <v>1271</v>
      </c>
    </row>
    <row r="299" spans="1:2" x14ac:dyDescent="0.25">
      <c r="A299" s="59" t="s">
        <v>1055</v>
      </c>
      <c r="B299" s="1" t="s">
        <v>1271</v>
      </c>
    </row>
    <row r="300" spans="1:2" x14ac:dyDescent="0.25">
      <c r="A300" s="59" t="s">
        <v>1056</v>
      </c>
      <c r="B300" s="1" t="s">
        <v>1271</v>
      </c>
    </row>
    <row r="301" spans="1:2" x14ac:dyDescent="0.25">
      <c r="A301" s="59" t="s">
        <v>1057</v>
      </c>
      <c r="B301" s="1" t="s">
        <v>1271</v>
      </c>
    </row>
    <row r="302" spans="1:2" x14ac:dyDescent="0.25">
      <c r="A302" s="61" t="s">
        <v>1058</v>
      </c>
      <c r="B302" s="1" t="s">
        <v>1271</v>
      </c>
    </row>
    <row r="303" spans="1:2" x14ac:dyDescent="0.25">
      <c r="A303" s="59" t="s">
        <v>1059</v>
      </c>
      <c r="B303" s="1" t="s">
        <v>1271</v>
      </c>
    </row>
    <row r="304" spans="1:2" x14ac:dyDescent="0.25">
      <c r="A304" s="59" t="s">
        <v>1060</v>
      </c>
      <c r="B304" s="1" t="s">
        <v>1271</v>
      </c>
    </row>
    <row r="305" spans="1:2" x14ac:dyDescent="0.25">
      <c r="A305" s="60" t="s">
        <v>1245</v>
      </c>
      <c r="B305" s="1" t="s">
        <v>1275</v>
      </c>
    </row>
    <row r="306" spans="1:2" x14ac:dyDescent="0.25">
      <c r="A306" s="60" t="s">
        <v>1246</v>
      </c>
      <c r="B306" s="1" t="s">
        <v>1275</v>
      </c>
    </row>
    <row r="307" spans="1:2" x14ac:dyDescent="0.25">
      <c r="A307" s="60" t="s">
        <v>1247</v>
      </c>
      <c r="B307" s="1" t="s">
        <v>1275</v>
      </c>
    </row>
    <row r="308" spans="1:2" x14ac:dyDescent="0.25">
      <c r="A308" s="60" t="s">
        <v>1248</v>
      </c>
      <c r="B308" s="1" t="s">
        <v>1275</v>
      </c>
    </row>
    <row r="309" spans="1:2" x14ac:dyDescent="0.25">
      <c r="A309" s="62" t="s">
        <v>1249</v>
      </c>
      <c r="B309" s="1" t="s">
        <v>1275</v>
      </c>
    </row>
    <row r="310" spans="1:2" x14ac:dyDescent="0.25">
      <c r="A310" s="60" t="s">
        <v>1250</v>
      </c>
      <c r="B310" s="1" t="s">
        <v>1275</v>
      </c>
    </row>
    <row r="311" spans="1:2" x14ac:dyDescent="0.25">
      <c r="A311" s="60" t="s">
        <v>1251</v>
      </c>
      <c r="B311" s="1" t="s">
        <v>1275</v>
      </c>
    </row>
    <row r="312" spans="1:2" x14ac:dyDescent="0.25">
      <c r="A312" s="60" t="s">
        <v>1252</v>
      </c>
      <c r="B312" s="1" t="s">
        <v>1275</v>
      </c>
    </row>
    <row r="313" spans="1:2" x14ac:dyDescent="0.25">
      <c r="A313" s="60" t="s">
        <v>1253</v>
      </c>
      <c r="B313" s="1" t="s">
        <v>1275</v>
      </c>
    </row>
    <row r="314" spans="1:2" x14ac:dyDescent="0.25">
      <c r="A314" s="60" t="s">
        <v>1254</v>
      </c>
      <c r="B314" s="1" t="s">
        <v>1275</v>
      </c>
    </row>
    <row r="315" spans="1:2" x14ac:dyDescent="0.25">
      <c r="A315" s="60" t="s">
        <v>1255</v>
      </c>
      <c r="B315" s="1" t="s">
        <v>1275</v>
      </c>
    </row>
    <row r="316" spans="1:2" x14ac:dyDescent="0.25">
      <c r="A316" s="60" t="s">
        <v>1256</v>
      </c>
      <c r="B316" s="1" t="s">
        <v>1275</v>
      </c>
    </row>
    <row r="317" spans="1:2" x14ac:dyDescent="0.25">
      <c r="A317" s="60" t="s">
        <v>1257</v>
      </c>
      <c r="B317" s="1" t="s">
        <v>1275</v>
      </c>
    </row>
    <row r="318" spans="1:2" x14ac:dyDescent="0.25">
      <c r="A318" s="60" t="s">
        <v>1258</v>
      </c>
      <c r="B318" s="1" t="s">
        <v>1275</v>
      </c>
    </row>
    <row r="319" spans="1:2" x14ac:dyDescent="0.25">
      <c r="A319" s="60" t="s">
        <v>1259</v>
      </c>
      <c r="B319" s="1" t="s">
        <v>1275</v>
      </c>
    </row>
    <row r="320" spans="1:2" x14ac:dyDescent="0.25">
      <c r="A320" s="60" t="s">
        <v>1260</v>
      </c>
      <c r="B320" s="1" t="s">
        <v>1275</v>
      </c>
    </row>
    <row r="321" spans="1:2" x14ac:dyDescent="0.25">
      <c r="A321" s="60" t="s">
        <v>1261</v>
      </c>
      <c r="B321" s="1" t="s">
        <v>1275</v>
      </c>
    </row>
    <row r="322" spans="1:2" x14ac:dyDescent="0.25">
      <c r="A322" s="60" t="s">
        <v>1262</v>
      </c>
      <c r="B322" s="1" t="s">
        <v>1275</v>
      </c>
    </row>
    <row r="323" spans="1:2" x14ac:dyDescent="0.25">
      <c r="A323" s="60" t="s">
        <v>1263</v>
      </c>
      <c r="B323" s="1" t="s">
        <v>1275</v>
      </c>
    </row>
    <row r="324" spans="1:2" x14ac:dyDescent="0.25">
      <c r="A324" s="60" t="s">
        <v>1264</v>
      </c>
      <c r="B324" s="1" t="s">
        <v>1275</v>
      </c>
    </row>
    <row r="325" spans="1:2" x14ac:dyDescent="0.25">
      <c r="A325" s="60" t="s">
        <v>1265</v>
      </c>
      <c r="B325" s="1" t="s">
        <v>1275</v>
      </c>
    </row>
    <row r="326" spans="1:2" x14ac:dyDescent="0.25">
      <c r="A326" s="60" t="s">
        <v>1268</v>
      </c>
      <c r="B326" s="1" t="s">
        <v>1275</v>
      </c>
    </row>
    <row r="327" spans="1:2" x14ac:dyDescent="0.25">
      <c r="A327" s="60" t="s">
        <v>1266</v>
      </c>
      <c r="B327" s="1" t="s">
        <v>1275</v>
      </c>
    </row>
    <row r="328" spans="1:2" x14ac:dyDescent="0.25">
      <c r="A328" s="60" t="s">
        <v>1267</v>
      </c>
      <c r="B328" s="1" t="s">
        <v>1275</v>
      </c>
    </row>
    <row r="329" spans="1:2" x14ac:dyDescent="0.25">
      <c r="A329" s="59" t="s">
        <v>1061</v>
      </c>
      <c r="B329" s="1" t="s">
        <v>1271</v>
      </c>
    </row>
    <row r="330" spans="1:2" x14ac:dyDescent="0.25">
      <c r="A330" s="59" t="s">
        <v>1062</v>
      </c>
      <c r="B330" s="1" t="s">
        <v>1271</v>
      </c>
    </row>
    <row r="331" spans="1:2" x14ac:dyDescent="0.25">
      <c r="A331" s="59" t="s">
        <v>1063</v>
      </c>
      <c r="B331" s="1" t="s">
        <v>1271</v>
      </c>
    </row>
    <row r="332" spans="1:2" x14ac:dyDescent="0.25">
      <c r="A332" s="59" t="s">
        <v>1064</v>
      </c>
      <c r="B332" s="1" t="s">
        <v>1271</v>
      </c>
    </row>
    <row r="333" spans="1:2" x14ac:dyDescent="0.25">
      <c r="A333" s="59" t="s">
        <v>1065</v>
      </c>
      <c r="B333" s="1" t="s">
        <v>1271</v>
      </c>
    </row>
    <row r="334" spans="1:2" x14ac:dyDescent="0.25">
      <c r="A334" s="59" t="s">
        <v>1066</v>
      </c>
      <c r="B334" s="1" t="s">
        <v>1271</v>
      </c>
    </row>
    <row r="335" spans="1:2" x14ac:dyDescent="0.25">
      <c r="A335" s="59" t="s">
        <v>1067</v>
      </c>
      <c r="B335" s="1" t="s">
        <v>1271</v>
      </c>
    </row>
    <row r="336" spans="1:2" x14ac:dyDescent="0.25">
      <c r="A336" s="59" t="s">
        <v>1068</v>
      </c>
      <c r="B336" s="1" t="s">
        <v>1271</v>
      </c>
    </row>
    <row r="337" spans="1:2" x14ac:dyDescent="0.25">
      <c r="A337" s="59" t="s">
        <v>1069</v>
      </c>
      <c r="B337" s="1" t="s">
        <v>1271</v>
      </c>
    </row>
    <row r="338" spans="1:2" x14ac:dyDescent="0.25">
      <c r="A338" s="59" t="s">
        <v>1070</v>
      </c>
      <c r="B338" s="1" t="s">
        <v>1271</v>
      </c>
    </row>
    <row r="339" spans="1:2" x14ac:dyDescent="0.25">
      <c r="A339" s="59" t="s">
        <v>1071</v>
      </c>
      <c r="B339" s="1" t="s">
        <v>1271</v>
      </c>
    </row>
    <row r="340" spans="1:2" x14ac:dyDescent="0.25">
      <c r="A340" s="59" t="s">
        <v>1072</v>
      </c>
      <c r="B340" s="1" t="s">
        <v>1271</v>
      </c>
    </row>
    <row r="341" spans="1:2" x14ac:dyDescent="0.25">
      <c r="A341" s="60" t="s">
        <v>1211</v>
      </c>
      <c r="B341" s="1" t="s">
        <v>1274</v>
      </c>
    </row>
    <row r="342" spans="1:2" x14ac:dyDescent="0.25">
      <c r="A342" s="60" t="s">
        <v>1212</v>
      </c>
      <c r="B342" s="1" t="s">
        <v>1274</v>
      </c>
    </row>
    <row r="343" spans="1:2" x14ac:dyDescent="0.25">
      <c r="A343" s="60" t="s">
        <v>1213</v>
      </c>
      <c r="B343" s="1" t="s">
        <v>1274</v>
      </c>
    </row>
    <row r="344" spans="1:2" x14ac:dyDescent="0.25">
      <c r="A344" s="60" t="s">
        <v>1214</v>
      </c>
      <c r="B344" s="1" t="s">
        <v>1274</v>
      </c>
    </row>
    <row r="345" spans="1:2" x14ac:dyDescent="0.25">
      <c r="A345" s="60" t="s">
        <v>1215</v>
      </c>
      <c r="B345" s="1" t="s">
        <v>1274</v>
      </c>
    </row>
    <row r="346" spans="1:2" x14ac:dyDescent="0.25">
      <c r="A346" s="60" t="s">
        <v>1216</v>
      </c>
      <c r="B346" s="1" t="s">
        <v>1274</v>
      </c>
    </row>
    <row r="347" spans="1:2" x14ac:dyDescent="0.25">
      <c r="A347" s="60" t="s">
        <v>1217</v>
      </c>
      <c r="B347" s="1" t="s">
        <v>1274</v>
      </c>
    </row>
    <row r="348" spans="1:2" x14ac:dyDescent="0.25">
      <c r="A348" s="60" t="s">
        <v>1218</v>
      </c>
      <c r="B348" s="1" t="s">
        <v>1274</v>
      </c>
    </row>
    <row r="349" spans="1:2" x14ac:dyDescent="0.25">
      <c r="A349" s="60" t="s">
        <v>1219</v>
      </c>
      <c r="B349" s="1" t="s">
        <v>1274</v>
      </c>
    </row>
    <row r="350" spans="1:2" x14ac:dyDescent="0.25">
      <c r="A350" s="62" t="s">
        <v>1143</v>
      </c>
      <c r="B350" s="1" t="s">
        <v>1273</v>
      </c>
    </row>
    <row r="351" spans="1:2" x14ac:dyDescent="0.25">
      <c r="A351" s="62" t="s">
        <v>1144</v>
      </c>
      <c r="B351" s="1" t="s">
        <v>1273</v>
      </c>
    </row>
    <row r="352" spans="1:2" x14ac:dyDescent="0.25">
      <c r="A352" s="62" t="s">
        <v>1145</v>
      </c>
      <c r="B352" s="1" t="s">
        <v>1273</v>
      </c>
    </row>
    <row r="353" spans="1:2" x14ac:dyDescent="0.25">
      <c r="A353" s="62" t="s">
        <v>1146</v>
      </c>
      <c r="B353" s="1" t="s">
        <v>1273</v>
      </c>
    </row>
    <row r="354" spans="1:2" x14ac:dyDescent="0.25">
      <c r="A354" s="62" t="s">
        <v>1147</v>
      </c>
      <c r="B354" s="1" t="s">
        <v>1273</v>
      </c>
    </row>
    <row r="355" spans="1:2" x14ac:dyDescent="0.25">
      <c r="A355" s="62" t="s">
        <v>1148</v>
      </c>
      <c r="B355" s="1" t="s">
        <v>1273</v>
      </c>
    </row>
    <row r="356" spans="1:2" x14ac:dyDescent="0.25">
      <c r="A356" s="62" t="s">
        <v>1149</v>
      </c>
      <c r="B356" s="1" t="s">
        <v>1273</v>
      </c>
    </row>
    <row r="357" spans="1:2" x14ac:dyDescent="0.25">
      <c r="A357" s="62" t="s">
        <v>1150</v>
      </c>
      <c r="B357" s="1" t="s">
        <v>1273</v>
      </c>
    </row>
    <row r="358" spans="1:2" x14ac:dyDescent="0.25">
      <c r="A358" s="62" t="s">
        <v>1151</v>
      </c>
      <c r="B358" s="1" t="s">
        <v>1273</v>
      </c>
    </row>
    <row r="359" spans="1:2" x14ac:dyDescent="0.25">
      <c r="A359" s="62" t="s">
        <v>1152</v>
      </c>
      <c r="B359" s="1" t="s">
        <v>1273</v>
      </c>
    </row>
    <row r="360" spans="1:2" x14ac:dyDescent="0.25">
      <c r="A360" s="62" t="s">
        <v>1153</v>
      </c>
      <c r="B360" s="1" t="s">
        <v>1273</v>
      </c>
    </row>
    <row r="361" spans="1:2" x14ac:dyDescent="0.25">
      <c r="A361" s="62" t="s">
        <v>1154</v>
      </c>
      <c r="B361" s="1" t="s">
        <v>1273</v>
      </c>
    </row>
    <row r="362" spans="1:2" x14ac:dyDescent="0.25">
      <c r="A362" s="62" t="s">
        <v>1155</v>
      </c>
      <c r="B362" s="1" t="s">
        <v>1273</v>
      </c>
    </row>
    <row r="363" spans="1:2" x14ac:dyDescent="0.25">
      <c r="A363" s="62" t="s">
        <v>1156</v>
      </c>
      <c r="B363" s="1" t="s">
        <v>1273</v>
      </c>
    </row>
    <row r="364" spans="1:2" x14ac:dyDescent="0.25">
      <c r="A364" s="64" t="s">
        <v>168</v>
      </c>
      <c r="B364" s="1" t="s">
        <v>1273</v>
      </c>
    </row>
    <row r="365" spans="1:2" x14ac:dyDescent="0.25">
      <c r="A365" s="60" t="s">
        <v>1220</v>
      </c>
      <c r="B365" s="1" t="s">
        <v>1274</v>
      </c>
    </row>
    <row r="366" spans="1:2" x14ac:dyDescent="0.25">
      <c r="A366" s="60" t="s">
        <v>1221</v>
      </c>
      <c r="B366" s="1" t="s">
        <v>1274</v>
      </c>
    </row>
    <row r="367" spans="1:2" x14ac:dyDescent="0.25">
      <c r="A367" s="59" t="s">
        <v>1073</v>
      </c>
      <c r="B367" s="1" t="s">
        <v>1271</v>
      </c>
    </row>
    <row r="368" spans="1:2" x14ac:dyDescent="0.25">
      <c r="A368" s="60" t="s">
        <v>1222</v>
      </c>
      <c r="B368" s="1" t="s">
        <v>1274</v>
      </c>
    </row>
    <row r="369" spans="1:2" x14ac:dyDescent="0.25">
      <c r="A369" s="60" t="s">
        <v>1222</v>
      </c>
      <c r="B369" s="1" t="s">
        <v>1275</v>
      </c>
    </row>
    <row r="370" spans="1:2" x14ac:dyDescent="0.25">
      <c r="A370" s="64" t="s">
        <v>1123</v>
      </c>
      <c r="B370" s="1" t="s">
        <v>1272</v>
      </c>
    </row>
    <row r="371" spans="1:2" x14ac:dyDescent="0.25">
      <c r="A371" s="59" t="s">
        <v>1074</v>
      </c>
      <c r="B371" s="1" t="s">
        <v>1271</v>
      </c>
    </row>
    <row r="372" spans="1:2" x14ac:dyDescent="0.25">
      <c r="A372" s="64" t="s">
        <v>1269</v>
      </c>
      <c r="B372" s="1" t="s">
        <v>1275</v>
      </c>
    </row>
    <row r="373" spans="1:2" x14ac:dyDescent="0.25">
      <c r="A373" s="59" t="s">
        <v>1075</v>
      </c>
      <c r="B373" s="1" t="s">
        <v>1272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EADA-8123-42CF-A6BE-904CE342C895}">
  <dimension ref="A1:J156"/>
  <sheetViews>
    <sheetView showGridLines="0" workbookViewId="0">
      <selection activeCell="C22" sqref="C22"/>
    </sheetView>
  </sheetViews>
  <sheetFormatPr defaultRowHeight="15" x14ac:dyDescent="0.25"/>
  <cols>
    <col min="1" max="1" width="44.42578125" style="1" bestFit="1" customWidth="1"/>
    <col min="2" max="2" width="44.42578125" style="1" customWidth="1"/>
    <col min="3" max="3" width="20.5703125" style="1" customWidth="1"/>
    <col min="4" max="4" width="14" style="1" bestFit="1" customWidth="1"/>
    <col min="5" max="5" width="13.5703125" style="1" bestFit="1" customWidth="1"/>
    <col min="6" max="6" width="13.28515625" style="1" bestFit="1" customWidth="1"/>
    <col min="7" max="7" width="17.5703125" style="1" bestFit="1" customWidth="1"/>
    <col min="8" max="8" width="17.5703125" style="1" customWidth="1"/>
    <col min="9" max="9" width="22.7109375" style="1" bestFit="1" customWidth="1"/>
    <col min="10" max="10" width="12.42578125" style="1" bestFit="1" customWidth="1"/>
    <col min="11" max="11" width="19" style="1" customWidth="1"/>
    <col min="12" max="12" width="9.140625" style="1" customWidth="1"/>
    <col min="13" max="16384" width="9.140625" style="1"/>
  </cols>
  <sheetData>
    <row r="1" spans="1:10" ht="60" x14ac:dyDescent="0.25">
      <c r="A1" s="18" t="s">
        <v>391</v>
      </c>
      <c r="B1" s="19" t="s">
        <v>103</v>
      </c>
      <c r="C1" s="19" t="s">
        <v>430</v>
      </c>
      <c r="D1" s="19" t="s">
        <v>392</v>
      </c>
      <c r="E1" s="44" t="s">
        <v>393</v>
      </c>
      <c r="F1" s="20" t="s">
        <v>394</v>
      </c>
      <c r="G1" s="21" t="s">
        <v>395</v>
      </c>
      <c r="H1" s="22" t="s">
        <v>97</v>
      </c>
      <c r="I1" s="23" t="s">
        <v>429</v>
      </c>
      <c r="J1" s="24" t="s">
        <v>627</v>
      </c>
    </row>
    <row r="2" spans="1:10" x14ac:dyDescent="0.25">
      <c r="A2" s="25" t="s">
        <v>1276</v>
      </c>
      <c r="B2" s="26" t="s">
        <v>79</v>
      </c>
      <c r="C2" s="37" t="s">
        <v>439</v>
      </c>
      <c r="D2" s="26"/>
      <c r="E2" s="37"/>
      <c r="F2" s="39" t="s">
        <v>479</v>
      </c>
      <c r="G2" s="37" t="s">
        <v>440</v>
      </c>
      <c r="H2" s="27"/>
      <c r="I2" s="26"/>
      <c r="J2" s="1" t="b">
        <f t="shared" ref="J2:J33" si="0">ISNUMBER(SEARCH($K$1,A:A))</f>
        <v>1</v>
      </c>
    </row>
    <row r="3" spans="1:10" x14ac:dyDescent="0.25">
      <c r="A3" s="25" t="s">
        <v>481</v>
      </c>
      <c r="B3" s="26" t="s">
        <v>80</v>
      </c>
      <c r="C3" s="37" t="s">
        <v>101</v>
      </c>
      <c r="D3" s="26" t="s">
        <v>496</v>
      </c>
      <c r="E3" s="37" t="s">
        <v>84</v>
      </c>
      <c r="F3" s="39" t="s">
        <v>826</v>
      </c>
      <c r="G3" s="37" t="s">
        <v>88</v>
      </c>
      <c r="H3" s="27" t="s">
        <v>757</v>
      </c>
      <c r="I3" s="26"/>
      <c r="J3" s="1" t="b">
        <f t="shared" si="0"/>
        <v>1</v>
      </c>
    </row>
    <row r="4" spans="1:10" x14ac:dyDescent="0.25">
      <c r="A4" s="25" t="s">
        <v>1277</v>
      </c>
      <c r="B4" s="26" t="s">
        <v>81</v>
      </c>
      <c r="C4" s="37" t="s">
        <v>101</v>
      </c>
      <c r="D4" s="26" t="s">
        <v>525</v>
      </c>
      <c r="E4" s="37" t="s">
        <v>84</v>
      </c>
      <c r="F4" s="39" t="s">
        <v>826</v>
      </c>
      <c r="G4" s="37" t="s">
        <v>88</v>
      </c>
      <c r="H4" s="27" t="s">
        <v>758</v>
      </c>
      <c r="I4" s="26"/>
      <c r="J4" s="1" t="b">
        <f t="shared" si="0"/>
        <v>1</v>
      </c>
    </row>
    <row r="5" spans="1:10" x14ac:dyDescent="0.25">
      <c r="A5" s="25" t="s">
        <v>1278</v>
      </c>
      <c r="B5" s="26" t="s">
        <v>81</v>
      </c>
      <c r="C5" s="37" t="s">
        <v>101</v>
      </c>
      <c r="D5" s="26" t="s">
        <v>526</v>
      </c>
      <c r="E5" s="37" t="s">
        <v>84</v>
      </c>
      <c r="F5" s="39" t="s">
        <v>826</v>
      </c>
      <c r="G5" s="37" t="s">
        <v>480</v>
      </c>
      <c r="H5" s="27" t="s">
        <v>758</v>
      </c>
      <c r="I5" s="26"/>
      <c r="J5" s="1" t="b">
        <f t="shared" si="0"/>
        <v>1</v>
      </c>
    </row>
    <row r="6" spans="1:10" x14ac:dyDescent="0.25">
      <c r="A6" s="25" t="s">
        <v>1279</v>
      </c>
      <c r="B6" s="26" t="s">
        <v>81</v>
      </c>
      <c r="C6" s="37" t="s">
        <v>439</v>
      </c>
      <c r="D6" s="26" t="s">
        <v>546</v>
      </c>
      <c r="E6" s="37" t="s">
        <v>85</v>
      </c>
      <c r="F6" s="39" t="s">
        <v>560</v>
      </c>
      <c r="G6" s="37" t="s">
        <v>440</v>
      </c>
      <c r="H6" s="27" t="s">
        <v>759</v>
      </c>
      <c r="I6" s="26"/>
      <c r="J6" s="1" t="b">
        <f t="shared" si="0"/>
        <v>1</v>
      </c>
    </row>
    <row r="7" spans="1:10" x14ac:dyDescent="0.25">
      <c r="A7" s="25" t="s">
        <v>396</v>
      </c>
      <c r="B7" s="26" t="s">
        <v>78</v>
      </c>
      <c r="C7" s="37" t="s">
        <v>101</v>
      </c>
      <c r="D7" s="26" t="s">
        <v>397</v>
      </c>
      <c r="E7" s="45" t="s">
        <v>84</v>
      </c>
      <c r="F7" s="39" t="s">
        <v>826</v>
      </c>
      <c r="G7" s="40" t="s">
        <v>88</v>
      </c>
      <c r="H7" s="27" t="s">
        <v>757</v>
      </c>
      <c r="I7" s="28"/>
      <c r="J7" s="1" t="b">
        <f t="shared" si="0"/>
        <v>1</v>
      </c>
    </row>
    <row r="8" spans="1:10" x14ac:dyDescent="0.25">
      <c r="A8" s="25" t="s">
        <v>1280</v>
      </c>
      <c r="B8" s="26" t="s">
        <v>81</v>
      </c>
      <c r="C8" s="37" t="s">
        <v>439</v>
      </c>
      <c r="D8" s="26" t="s">
        <v>547</v>
      </c>
      <c r="E8" s="37" t="s">
        <v>85</v>
      </c>
      <c r="F8" s="39" t="s">
        <v>561</v>
      </c>
      <c r="G8" s="37" t="s">
        <v>440</v>
      </c>
      <c r="H8" s="27" t="s">
        <v>759</v>
      </c>
      <c r="I8" s="26"/>
      <c r="J8" s="1" t="b">
        <f t="shared" si="0"/>
        <v>1</v>
      </c>
    </row>
    <row r="9" spans="1:10" x14ac:dyDescent="0.25">
      <c r="A9" s="25" t="s">
        <v>1281</v>
      </c>
      <c r="B9" s="26" t="s">
        <v>81</v>
      </c>
      <c r="C9" s="37" t="s">
        <v>101</v>
      </c>
      <c r="D9" s="26" t="s">
        <v>527</v>
      </c>
      <c r="E9" s="37" t="s">
        <v>84</v>
      </c>
      <c r="F9" s="39" t="s">
        <v>826</v>
      </c>
      <c r="G9" s="37" t="s">
        <v>88</v>
      </c>
      <c r="H9" s="27" t="s">
        <v>757</v>
      </c>
      <c r="I9" s="26"/>
      <c r="J9" s="1" t="b">
        <f t="shared" si="0"/>
        <v>1</v>
      </c>
    </row>
    <row r="10" spans="1:10" x14ac:dyDescent="0.25">
      <c r="A10" s="25" t="s">
        <v>1282</v>
      </c>
      <c r="B10" s="26" t="s">
        <v>81</v>
      </c>
      <c r="C10" s="37" t="s">
        <v>101</v>
      </c>
      <c r="D10" s="26" t="s">
        <v>528</v>
      </c>
      <c r="E10" s="37" t="s">
        <v>84</v>
      </c>
      <c r="F10" s="39" t="s">
        <v>826</v>
      </c>
      <c r="G10" s="37" t="s">
        <v>88</v>
      </c>
      <c r="H10" s="27" t="s">
        <v>757</v>
      </c>
      <c r="I10" s="26"/>
      <c r="J10" s="1" t="b">
        <f t="shared" si="0"/>
        <v>1</v>
      </c>
    </row>
    <row r="11" spans="1:10" x14ac:dyDescent="0.25">
      <c r="A11" s="25" t="s">
        <v>1283</v>
      </c>
      <c r="B11" s="26" t="s">
        <v>80</v>
      </c>
      <c r="C11" s="37" t="s">
        <v>101</v>
      </c>
      <c r="D11" s="26" t="s">
        <v>497</v>
      </c>
      <c r="E11" s="37" t="s">
        <v>85</v>
      </c>
      <c r="F11" s="39" t="s">
        <v>826</v>
      </c>
      <c r="G11" s="37" t="s">
        <v>88</v>
      </c>
      <c r="H11" s="27" t="s">
        <v>759</v>
      </c>
      <c r="I11" s="26"/>
      <c r="J11" s="1" t="b">
        <f t="shared" si="0"/>
        <v>1</v>
      </c>
    </row>
    <row r="12" spans="1:10" x14ac:dyDescent="0.25">
      <c r="A12" s="25" t="s">
        <v>1284</v>
      </c>
      <c r="B12" s="26" t="s">
        <v>79</v>
      </c>
      <c r="C12" s="37" t="s">
        <v>439</v>
      </c>
      <c r="D12" s="26" t="s">
        <v>471</v>
      </c>
      <c r="E12" s="37" t="s">
        <v>85</v>
      </c>
      <c r="F12" s="39" t="s">
        <v>437</v>
      </c>
      <c r="G12" s="37" t="s">
        <v>440</v>
      </c>
      <c r="H12" s="27" t="s">
        <v>759</v>
      </c>
      <c r="I12" s="26"/>
      <c r="J12" s="1" t="b">
        <f t="shared" si="0"/>
        <v>1</v>
      </c>
    </row>
    <row r="13" spans="1:10" x14ac:dyDescent="0.25">
      <c r="A13" s="25" t="s">
        <v>1285</v>
      </c>
      <c r="B13" s="26" t="s">
        <v>80</v>
      </c>
      <c r="C13" s="37" t="s">
        <v>101</v>
      </c>
      <c r="D13" s="26" t="s">
        <v>498</v>
      </c>
      <c r="E13" s="37" t="s">
        <v>84</v>
      </c>
      <c r="F13" s="39" t="s">
        <v>826</v>
      </c>
      <c r="G13" s="37" t="s">
        <v>88</v>
      </c>
      <c r="H13" s="27" t="s">
        <v>760</v>
      </c>
      <c r="I13" s="26"/>
      <c r="J13" s="1" t="b">
        <f t="shared" si="0"/>
        <v>1</v>
      </c>
    </row>
    <row r="14" spans="1:10" x14ac:dyDescent="0.25">
      <c r="A14" s="25" t="s">
        <v>398</v>
      </c>
      <c r="B14" s="26" t="s">
        <v>78</v>
      </c>
      <c r="C14" s="37" t="s">
        <v>101</v>
      </c>
      <c r="D14" s="26" t="s">
        <v>399</v>
      </c>
      <c r="E14" s="45" t="s">
        <v>84</v>
      </c>
      <c r="F14" s="39" t="s">
        <v>826</v>
      </c>
      <c r="G14" s="40" t="s">
        <v>88</v>
      </c>
      <c r="H14" s="27" t="s">
        <v>757</v>
      </c>
      <c r="I14" s="28"/>
      <c r="J14" s="1" t="b">
        <f t="shared" si="0"/>
        <v>1</v>
      </c>
    </row>
    <row r="15" spans="1:10" x14ac:dyDescent="0.25">
      <c r="A15" s="25" t="s">
        <v>602</v>
      </c>
      <c r="B15" s="26" t="s">
        <v>83</v>
      </c>
      <c r="C15" s="37" t="s">
        <v>101</v>
      </c>
      <c r="D15" s="26" t="s">
        <v>612</v>
      </c>
      <c r="E15" s="37" t="s">
        <v>84</v>
      </c>
      <c r="F15" s="39" t="s">
        <v>826</v>
      </c>
      <c r="G15" s="37" t="s">
        <v>88</v>
      </c>
      <c r="H15" s="27" t="s">
        <v>757</v>
      </c>
      <c r="I15" s="26"/>
      <c r="J15" s="1" t="b">
        <f t="shared" si="0"/>
        <v>1</v>
      </c>
    </row>
    <row r="16" spans="1:10" x14ac:dyDescent="0.25">
      <c r="A16" s="25" t="s">
        <v>1286</v>
      </c>
      <c r="B16" s="26" t="s">
        <v>81</v>
      </c>
      <c r="C16" s="37" t="s">
        <v>101</v>
      </c>
      <c r="D16" s="26" t="s">
        <v>529</v>
      </c>
      <c r="E16" s="37" t="s">
        <v>84</v>
      </c>
      <c r="F16" s="39" t="s">
        <v>826</v>
      </c>
      <c r="G16" s="37" t="s">
        <v>480</v>
      </c>
      <c r="H16" s="27" t="s">
        <v>758</v>
      </c>
      <c r="I16" s="26"/>
      <c r="J16" s="1" t="b">
        <f t="shared" si="0"/>
        <v>1</v>
      </c>
    </row>
    <row r="17" spans="1:10" x14ac:dyDescent="0.25">
      <c r="A17" s="25" t="s">
        <v>1287</v>
      </c>
      <c r="B17" s="26" t="s">
        <v>80</v>
      </c>
      <c r="C17" s="37" t="s">
        <v>101</v>
      </c>
      <c r="D17" s="26" t="s">
        <v>499</v>
      </c>
      <c r="E17" s="37" t="s">
        <v>84</v>
      </c>
      <c r="F17" s="39" t="s">
        <v>826</v>
      </c>
      <c r="G17" s="37" t="s">
        <v>88</v>
      </c>
      <c r="H17" s="27" t="s">
        <v>760</v>
      </c>
      <c r="I17" s="26"/>
      <c r="J17" s="1" t="b">
        <f t="shared" si="0"/>
        <v>1</v>
      </c>
    </row>
    <row r="18" spans="1:10" x14ac:dyDescent="0.25">
      <c r="A18" s="25" t="s">
        <v>1288</v>
      </c>
      <c r="B18" s="26" t="s">
        <v>81</v>
      </c>
      <c r="C18" s="37" t="s">
        <v>101</v>
      </c>
      <c r="D18" s="26" t="s">
        <v>530</v>
      </c>
      <c r="E18" s="37" t="s">
        <v>84</v>
      </c>
      <c r="F18" s="39" t="s">
        <v>826</v>
      </c>
      <c r="G18" s="37" t="s">
        <v>88</v>
      </c>
      <c r="H18" s="27" t="s">
        <v>758</v>
      </c>
      <c r="I18" s="26"/>
      <c r="J18" s="1" t="b">
        <f t="shared" si="0"/>
        <v>1</v>
      </c>
    </row>
    <row r="19" spans="1:10" x14ac:dyDescent="0.25">
      <c r="A19" s="25" t="s">
        <v>1289</v>
      </c>
      <c r="B19" s="26" t="s">
        <v>81</v>
      </c>
      <c r="C19" s="37" t="s">
        <v>101</v>
      </c>
      <c r="D19" s="26" t="s">
        <v>531</v>
      </c>
      <c r="E19" s="37" t="s">
        <v>84</v>
      </c>
      <c r="F19" s="39" t="s">
        <v>826</v>
      </c>
      <c r="G19" s="37" t="s">
        <v>88</v>
      </c>
      <c r="H19" s="27" t="s">
        <v>757</v>
      </c>
      <c r="I19" s="26"/>
      <c r="J19" s="1" t="b">
        <f t="shared" si="0"/>
        <v>1</v>
      </c>
    </row>
    <row r="20" spans="1:10" x14ac:dyDescent="0.25">
      <c r="A20" s="25" t="s">
        <v>400</v>
      </c>
      <c r="B20" s="26" t="s">
        <v>78</v>
      </c>
      <c r="C20" s="37" t="s">
        <v>101</v>
      </c>
      <c r="D20" s="26" t="s">
        <v>401</v>
      </c>
      <c r="E20" s="45" t="s">
        <v>84</v>
      </c>
      <c r="F20" s="39" t="s">
        <v>826</v>
      </c>
      <c r="G20" s="40" t="s">
        <v>88</v>
      </c>
      <c r="H20" s="27" t="s">
        <v>758</v>
      </c>
      <c r="I20" s="28"/>
      <c r="J20" s="1" t="b">
        <f t="shared" si="0"/>
        <v>1</v>
      </c>
    </row>
    <row r="21" spans="1:10" x14ac:dyDescent="0.25">
      <c r="A21" s="25" t="s">
        <v>482</v>
      </c>
      <c r="B21" s="26" t="s">
        <v>80</v>
      </c>
      <c r="C21" s="37" t="s">
        <v>101</v>
      </c>
      <c r="D21" s="26" t="s">
        <v>500</v>
      </c>
      <c r="E21" s="37" t="s">
        <v>84</v>
      </c>
      <c r="F21" s="39" t="s">
        <v>826</v>
      </c>
      <c r="G21" s="37" t="s">
        <v>88</v>
      </c>
      <c r="H21" s="27" t="s">
        <v>760</v>
      </c>
      <c r="I21" s="26"/>
      <c r="J21" s="1" t="b">
        <f t="shared" si="0"/>
        <v>1</v>
      </c>
    </row>
    <row r="22" spans="1:10" x14ac:dyDescent="0.25">
      <c r="A22" s="25" t="s">
        <v>570</v>
      </c>
      <c r="B22" s="26" t="s">
        <v>82</v>
      </c>
      <c r="C22" s="37" t="s">
        <v>101</v>
      </c>
      <c r="D22" s="26" t="s">
        <v>582</v>
      </c>
      <c r="E22" s="37" t="s">
        <v>84</v>
      </c>
      <c r="F22" s="39" t="s">
        <v>826</v>
      </c>
      <c r="G22" s="37" t="s">
        <v>88</v>
      </c>
      <c r="H22" s="27" t="s">
        <v>757</v>
      </c>
      <c r="I22" s="26"/>
      <c r="J22" s="1" t="b">
        <f t="shared" si="0"/>
        <v>1</v>
      </c>
    </row>
    <row r="23" spans="1:10" x14ac:dyDescent="0.25">
      <c r="A23" s="25" t="s">
        <v>571</v>
      </c>
      <c r="B23" s="26" t="s">
        <v>82</v>
      </c>
      <c r="C23" s="37" t="s">
        <v>101</v>
      </c>
      <c r="D23" s="26" t="s">
        <v>583</v>
      </c>
      <c r="E23" s="37" t="s">
        <v>84</v>
      </c>
      <c r="F23" s="39" t="s">
        <v>826</v>
      </c>
      <c r="G23" s="37" t="s">
        <v>88</v>
      </c>
      <c r="H23" s="27" t="s">
        <v>757</v>
      </c>
      <c r="I23" s="26"/>
      <c r="J23" s="1" t="b">
        <f t="shared" si="0"/>
        <v>1</v>
      </c>
    </row>
    <row r="24" spans="1:10" x14ac:dyDescent="0.25">
      <c r="A24" s="29" t="s">
        <v>1290</v>
      </c>
      <c r="B24" s="30" t="s">
        <v>81</v>
      </c>
      <c r="C24" s="38" t="s">
        <v>101</v>
      </c>
      <c r="D24" s="30" t="s">
        <v>532</v>
      </c>
      <c r="E24" s="38" t="s">
        <v>84</v>
      </c>
      <c r="F24" s="39" t="s">
        <v>826</v>
      </c>
      <c r="G24" s="38" t="s">
        <v>480</v>
      </c>
      <c r="H24" s="27" t="s">
        <v>758</v>
      </c>
      <c r="I24" s="26"/>
      <c r="J24" s="1" t="b">
        <f t="shared" si="0"/>
        <v>1</v>
      </c>
    </row>
    <row r="25" spans="1:10" x14ac:dyDescent="0.25">
      <c r="A25" s="26" t="s">
        <v>1291</v>
      </c>
      <c r="B25" s="26" t="s">
        <v>78</v>
      </c>
      <c r="C25" s="37" t="s">
        <v>101</v>
      </c>
      <c r="D25" s="26" t="s">
        <v>402</v>
      </c>
      <c r="E25" s="45" t="s">
        <v>84</v>
      </c>
      <c r="F25" s="39" t="s">
        <v>826</v>
      </c>
      <c r="G25" s="40" t="s">
        <v>480</v>
      </c>
      <c r="H25" s="27" t="s">
        <v>758</v>
      </c>
      <c r="I25" s="31"/>
      <c r="J25" s="1" t="b">
        <f t="shared" si="0"/>
        <v>1</v>
      </c>
    </row>
    <row r="26" spans="1:10" x14ac:dyDescent="0.25">
      <c r="A26" s="26" t="s">
        <v>1292</v>
      </c>
      <c r="B26" s="26" t="s">
        <v>81</v>
      </c>
      <c r="C26" s="37" t="s">
        <v>101</v>
      </c>
      <c r="D26" s="26" t="s">
        <v>533</v>
      </c>
      <c r="E26" s="37" t="s">
        <v>84</v>
      </c>
      <c r="F26" s="39" t="s">
        <v>826</v>
      </c>
      <c r="G26" s="37" t="s">
        <v>88</v>
      </c>
      <c r="H26" s="27" t="s">
        <v>757</v>
      </c>
      <c r="I26" s="26"/>
      <c r="J26" s="1" t="b">
        <f t="shared" si="0"/>
        <v>1</v>
      </c>
    </row>
    <row r="27" spans="1:10" x14ac:dyDescent="0.25">
      <c r="A27" s="26" t="s">
        <v>572</v>
      </c>
      <c r="B27" s="26" t="s">
        <v>82</v>
      </c>
      <c r="C27" s="37" t="s">
        <v>101</v>
      </c>
      <c r="D27" s="26" t="s">
        <v>584</v>
      </c>
      <c r="E27" s="37" t="s">
        <v>84</v>
      </c>
      <c r="F27" s="39" t="s">
        <v>826</v>
      </c>
      <c r="G27" s="37" t="s">
        <v>88</v>
      </c>
      <c r="H27" s="27" t="s">
        <v>760</v>
      </c>
      <c r="I27" s="26"/>
      <c r="J27" s="1" t="b">
        <f t="shared" si="0"/>
        <v>1</v>
      </c>
    </row>
    <row r="28" spans="1:10" x14ac:dyDescent="0.25">
      <c r="A28" s="26" t="s">
        <v>1293</v>
      </c>
      <c r="B28" s="26" t="s">
        <v>78</v>
      </c>
      <c r="C28" s="37" t="s">
        <v>101</v>
      </c>
      <c r="D28" s="26" t="s">
        <v>403</v>
      </c>
      <c r="E28" s="45" t="s">
        <v>84</v>
      </c>
      <c r="F28" s="39" t="s">
        <v>826</v>
      </c>
      <c r="G28" s="40" t="s">
        <v>88</v>
      </c>
      <c r="H28" s="27" t="s">
        <v>760</v>
      </c>
      <c r="I28" s="28"/>
      <c r="J28" s="1" t="b">
        <f t="shared" si="0"/>
        <v>1</v>
      </c>
    </row>
    <row r="29" spans="1:10" x14ac:dyDescent="0.25">
      <c r="A29" s="32" t="s">
        <v>441</v>
      </c>
      <c r="B29" s="26" t="s">
        <v>79</v>
      </c>
      <c r="C29" s="37" t="s">
        <v>101</v>
      </c>
      <c r="D29" s="32" t="s">
        <v>442</v>
      </c>
      <c r="E29" s="45" t="s">
        <v>85</v>
      </c>
      <c r="F29" s="39" t="s">
        <v>826</v>
      </c>
      <c r="G29" s="41" t="s">
        <v>480</v>
      </c>
      <c r="H29" s="27" t="s">
        <v>759</v>
      </c>
      <c r="I29" s="26"/>
      <c r="J29" s="1" t="b">
        <f t="shared" si="0"/>
        <v>1</v>
      </c>
    </row>
    <row r="30" spans="1:10" x14ac:dyDescent="0.25">
      <c r="A30" s="31" t="s">
        <v>1294</v>
      </c>
      <c r="B30" s="26" t="s">
        <v>78</v>
      </c>
      <c r="C30" s="37" t="s">
        <v>101</v>
      </c>
      <c r="D30" s="26" t="s">
        <v>404</v>
      </c>
      <c r="E30" s="45" t="s">
        <v>84</v>
      </c>
      <c r="F30" s="39" t="s">
        <v>826</v>
      </c>
      <c r="G30" s="40" t="s">
        <v>88</v>
      </c>
      <c r="H30" s="27" t="s">
        <v>757</v>
      </c>
      <c r="I30" s="31" t="s">
        <v>428</v>
      </c>
      <c r="J30" s="1" t="b">
        <f t="shared" si="0"/>
        <v>1</v>
      </c>
    </row>
    <row r="31" spans="1:10" x14ac:dyDescent="0.25">
      <c r="A31" s="26" t="s">
        <v>405</v>
      </c>
      <c r="B31" s="26" t="s">
        <v>78</v>
      </c>
      <c r="C31" s="37" t="s">
        <v>101</v>
      </c>
      <c r="D31" s="26" t="s">
        <v>406</v>
      </c>
      <c r="E31" s="45" t="s">
        <v>84</v>
      </c>
      <c r="F31" s="39" t="s">
        <v>826</v>
      </c>
      <c r="G31" s="40" t="s">
        <v>88</v>
      </c>
      <c r="H31" s="27" t="s">
        <v>760</v>
      </c>
      <c r="I31" s="28"/>
      <c r="J31" s="1" t="b">
        <f t="shared" si="0"/>
        <v>1</v>
      </c>
    </row>
    <row r="32" spans="1:10" x14ac:dyDescent="0.25">
      <c r="A32" s="26" t="s">
        <v>1295</v>
      </c>
      <c r="B32" s="26" t="s">
        <v>81</v>
      </c>
      <c r="C32" s="37" t="s">
        <v>101</v>
      </c>
      <c r="D32" s="26" t="s">
        <v>534</v>
      </c>
      <c r="E32" s="37" t="s">
        <v>84</v>
      </c>
      <c r="F32" s="39" t="s">
        <v>826</v>
      </c>
      <c r="G32" s="37" t="s">
        <v>88</v>
      </c>
      <c r="H32" s="27" t="s">
        <v>758</v>
      </c>
      <c r="I32" s="26"/>
      <c r="J32" s="1" t="b">
        <f t="shared" si="0"/>
        <v>1</v>
      </c>
    </row>
    <row r="33" spans="1:10" x14ac:dyDescent="0.25">
      <c r="A33" s="26" t="s">
        <v>1296</v>
      </c>
      <c r="B33" s="26" t="s">
        <v>78</v>
      </c>
      <c r="C33" s="37" t="s">
        <v>101</v>
      </c>
      <c r="D33" s="26" t="s">
        <v>407</v>
      </c>
      <c r="E33" s="45" t="s">
        <v>84</v>
      </c>
      <c r="F33" s="39" t="s">
        <v>826</v>
      </c>
      <c r="G33" s="40" t="s">
        <v>88</v>
      </c>
      <c r="H33" s="27" t="s">
        <v>760</v>
      </c>
      <c r="I33" s="28"/>
      <c r="J33" s="1" t="b">
        <f t="shared" si="0"/>
        <v>1</v>
      </c>
    </row>
    <row r="34" spans="1:10" x14ac:dyDescent="0.25">
      <c r="A34" s="32" t="s">
        <v>443</v>
      </c>
      <c r="B34" s="26" t="s">
        <v>79</v>
      </c>
      <c r="C34" s="37" t="s">
        <v>101</v>
      </c>
      <c r="D34" s="32" t="s">
        <v>444</v>
      </c>
      <c r="E34" s="45" t="s">
        <v>84</v>
      </c>
      <c r="F34" s="39" t="s">
        <v>826</v>
      </c>
      <c r="G34" s="42" t="s">
        <v>88</v>
      </c>
      <c r="H34" s="27" t="s">
        <v>760</v>
      </c>
      <c r="I34" s="26"/>
      <c r="J34" s="1" t="b">
        <f t="shared" ref="J34:J65" si="1">ISNUMBER(SEARCH($K$1,A:A))</f>
        <v>1</v>
      </c>
    </row>
    <row r="35" spans="1:10" x14ac:dyDescent="0.25">
      <c r="A35" s="26" t="s">
        <v>1297</v>
      </c>
      <c r="B35" s="26" t="s">
        <v>81</v>
      </c>
      <c r="C35" s="37" t="s">
        <v>439</v>
      </c>
      <c r="D35" s="26" t="s">
        <v>548</v>
      </c>
      <c r="E35" s="37" t="s">
        <v>84</v>
      </c>
      <c r="F35" s="39" t="s">
        <v>562</v>
      </c>
      <c r="G35" s="37" t="s">
        <v>440</v>
      </c>
      <c r="H35" s="27" t="s">
        <v>758</v>
      </c>
      <c r="I35" s="26"/>
      <c r="J35" s="1" t="b">
        <f t="shared" si="1"/>
        <v>1</v>
      </c>
    </row>
    <row r="36" spans="1:10" x14ac:dyDescent="0.25">
      <c r="A36" s="26" t="s">
        <v>1298</v>
      </c>
      <c r="B36" s="26" t="s">
        <v>81</v>
      </c>
      <c r="C36" s="37" t="s">
        <v>439</v>
      </c>
      <c r="D36" s="26" t="s">
        <v>549</v>
      </c>
      <c r="E36" s="37" t="s">
        <v>84</v>
      </c>
      <c r="F36" s="39" t="s">
        <v>563</v>
      </c>
      <c r="G36" s="37" t="s">
        <v>440</v>
      </c>
      <c r="H36" s="27" t="s">
        <v>758</v>
      </c>
      <c r="I36" s="26"/>
      <c r="J36" s="1" t="b">
        <f t="shared" si="1"/>
        <v>1</v>
      </c>
    </row>
    <row r="37" spans="1:10" x14ac:dyDescent="0.25">
      <c r="A37" s="26" t="s">
        <v>408</v>
      </c>
      <c r="B37" s="26" t="s">
        <v>78</v>
      </c>
      <c r="C37" s="37" t="s">
        <v>101</v>
      </c>
      <c r="D37" s="26" t="s">
        <v>409</v>
      </c>
      <c r="E37" s="45" t="s">
        <v>84</v>
      </c>
      <c r="F37" s="39" t="s">
        <v>826</v>
      </c>
      <c r="G37" s="40" t="s">
        <v>88</v>
      </c>
      <c r="H37" s="27" t="s">
        <v>758</v>
      </c>
      <c r="I37" s="28"/>
      <c r="J37" s="1" t="b">
        <f t="shared" si="1"/>
        <v>1</v>
      </c>
    </row>
    <row r="38" spans="1:10" x14ac:dyDescent="0.25">
      <c r="A38" s="32" t="s">
        <v>1299</v>
      </c>
      <c r="B38" s="26" t="s">
        <v>78</v>
      </c>
      <c r="C38" s="37" t="s">
        <v>101</v>
      </c>
      <c r="D38" s="32" t="s">
        <v>410</v>
      </c>
      <c r="E38" s="45" t="s">
        <v>84</v>
      </c>
      <c r="F38" s="39" t="s">
        <v>826</v>
      </c>
      <c r="G38" s="40" t="s">
        <v>88</v>
      </c>
      <c r="H38" s="27" t="s">
        <v>757</v>
      </c>
      <c r="I38" s="28"/>
      <c r="J38" s="1" t="b">
        <f t="shared" si="1"/>
        <v>1</v>
      </c>
    </row>
    <row r="39" spans="1:10" x14ac:dyDescent="0.25">
      <c r="A39" s="26" t="s">
        <v>573</v>
      </c>
      <c r="B39" s="26" t="s">
        <v>82</v>
      </c>
      <c r="C39" s="37" t="s">
        <v>101</v>
      </c>
      <c r="D39" s="26" t="s">
        <v>585</v>
      </c>
      <c r="E39" s="37" t="s">
        <v>84</v>
      </c>
      <c r="F39" s="39" t="s">
        <v>826</v>
      </c>
      <c r="G39" s="37" t="s">
        <v>88</v>
      </c>
      <c r="H39" s="27" t="s">
        <v>757</v>
      </c>
      <c r="I39" s="26"/>
      <c r="J39" s="1" t="b">
        <f t="shared" si="1"/>
        <v>1</v>
      </c>
    </row>
    <row r="40" spans="1:10" x14ac:dyDescent="0.25">
      <c r="A40" s="26" t="s">
        <v>574</v>
      </c>
      <c r="B40" s="26" t="s">
        <v>82</v>
      </c>
      <c r="C40" s="37" t="s">
        <v>101</v>
      </c>
      <c r="D40" s="26" t="s">
        <v>586</v>
      </c>
      <c r="E40" s="37" t="s">
        <v>85</v>
      </c>
      <c r="F40" s="39" t="s">
        <v>826</v>
      </c>
      <c r="G40" s="37" t="s">
        <v>88</v>
      </c>
      <c r="H40" s="27" t="s">
        <v>759</v>
      </c>
      <c r="I40" s="26"/>
      <c r="J40" s="1" t="b">
        <f t="shared" si="1"/>
        <v>1</v>
      </c>
    </row>
    <row r="41" spans="1:10" x14ac:dyDescent="0.25">
      <c r="A41" s="32" t="s">
        <v>411</v>
      </c>
      <c r="B41" s="26" t="s">
        <v>78</v>
      </c>
      <c r="C41" s="37" t="s">
        <v>101</v>
      </c>
      <c r="D41" s="32" t="s">
        <v>412</v>
      </c>
      <c r="E41" s="45" t="s">
        <v>84</v>
      </c>
      <c r="F41" s="39" t="s">
        <v>826</v>
      </c>
      <c r="G41" s="40" t="s">
        <v>88</v>
      </c>
      <c r="H41" s="27" t="s">
        <v>757</v>
      </c>
      <c r="I41" s="28"/>
      <c r="J41" s="1" t="b">
        <f t="shared" si="1"/>
        <v>1</v>
      </c>
    </row>
    <row r="42" spans="1:10" x14ac:dyDescent="0.25">
      <c r="A42" s="33" t="s">
        <v>830</v>
      </c>
      <c r="B42" s="26" t="s">
        <v>79</v>
      </c>
      <c r="C42" s="37" t="s">
        <v>101</v>
      </c>
      <c r="D42" s="32" t="s">
        <v>445</v>
      </c>
      <c r="E42" s="45" t="s">
        <v>84</v>
      </c>
      <c r="F42" s="39" t="s">
        <v>826</v>
      </c>
      <c r="G42" s="42" t="s">
        <v>88</v>
      </c>
      <c r="H42" s="27" t="s">
        <v>758</v>
      </c>
      <c r="I42" s="34" t="s">
        <v>446</v>
      </c>
      <c r="J42" s="1" t="b">
        <f t="shared" si="1"/>
        <v>1</v>
      </c>
    </row>
    <row r="43" spans="1:10" x14ac:dyDescent="0.25">
      <c r="A43" s="25" t="s">
        <v>1300</v>
      </c>
      <c r="B43" s="26" t="s">
        <v>82</v>
      </c>
      <c r="C43" s="37" t="s">
        <v>439</v>
      </c>
      <c r="D43" s="26" t="s">
        <v>595</v>
      </c>
      <c r="E43" s="37" t="s">
        <v>84</v>
      </c>
      <c r="F43" s="39" t="s">
        <v>438</v>
      </c>
      <c r="G43" s="37" t="s">
        <v>440</v>
      </c>
      <c r="H43" s="27" t="s">
        <v>758</v>
      </c>
      <c r="I43" s="26"/>
      <c r="J43" s="1" t="b">
        <f t="shared" si="1"/>
        <v>1</v>
      </c>
    </row>
    <row r="44" spans="1:10" x14ac:dyDescent="0.25">
      <c r="A44" s="25" t="s">
        <v>431</v>
      </c>
      <c r="B44" s="26" t="s">
        <v>78</v>
      </c>
      <c r="C44" s="37" t="s">
        <v>439</v>
      </c>
      <c r="D44" s="26" t="s">
        <v>432</v>
      </c>
      <c r="E44" s="37" t="s">
        <v>84</v>
      </c>
      <c r="F44" s="39" t="s">
        <v>436</v>
      </c>
      <c r="G44" s="37" t="s">
        <v>440</v>
      </c>
      <c r="H44" s="27" t="s">
        <v>758</v>
      </c>
      <c r="I44" s="26"/>
      <c r="J44" s="1" t="b">
        <f t="shared" si="1"/>
        <v>1</v>
      </c>
    </row>
    <row r="45" spans="1:10" x14ac:dyDescent="0.25">
      <c r="A45" s="25" t="s">
        <v>603</v>
      </c>
      <c r="B45" s="26" t="s">
        <v>83</v>
      </c>
      <c r="C45" s="37" t="s">
        <v>101</v>
      </c>
      <c r="D45" s="26" t="s">
        <v>613</v>
      </c>
      <c r="E45" s="37" t="s">
        <v>84</v>
      </c>
      <c r="F45" s="39" t="s">
        <v>826</v>
      </c>
      <c r="G45" s="37" t="s">
        <v>88</v>
      </c>
      <c r="H45" s="27" t="s">
        <v>757</v>
      </c>
      <c r="I45" s="26"/>
      <c r="J45" s="1" t="b">
        <f t="shared" si="1"/>
        <v>1</v>
      </c>
    </row>
    <row r="46" spans="1:10" x14ac:dyDescent="0.25">
      <c r="A46" s="25" t="s">
        <v>1301</v>
      </c>
      <c r="B46" s="26" t="s">
        <v>81</v>
      </c>
      <c r="C46" s="37" t="s">
        <v>439</v>
      </c>
      <c r="D46" s="26" t="s">
        <v>550</v>
      </c>
      <c r="E46" s="37" t="s">
        <v>85</v>
      </c>
      <c r="F46" s="39" t="s">
        <v>564</v>
      </c>
      <c r="G46" s="37" t="s">
        <v>440</v>
      </c>
      <c r="H46" s="27" t="s">
        <v>759</v>
      </c>
      <c r="I46" s="26"/>
      <c r="J46" s="1" t="b">
        <f t="shared" si="1"/>
        <v>1</v>
      </c>
    </row>
    <row r="47" spans="1:10" x14ac:dyDescent="0.25">
      <c r="A47" s="29" t="s">
        <v>1302</v>
      </c>
      <c r="B47" s="26" t="s">
        <v>82</v>
      </c>
      <c r="C47" s="37" t="s">
        <v>101</v>
      </c>
      <c r="D47" s="30" t="s">
        <v>587</v>
      </c>
      <c r="E47" s="38" t="s">
        <v>84</v>
      </c>
      <c r="F47" s="39" t="s">
        <v>826</v>
      </c>
      <c r="G47" s="38" t="s">
        <v>88</v>
      </c>
      <c r="H47" s="27" t="s">
        <v>757</v>
      </c>
      <c r="I47" s="26"/>
      <c r="J47" s="1" t="b">
        <f t="shared" si="1"/>
        <v>1</v>
      </c>
    </row>
    <row r="48" spans="1:10" x14ac:dyDescent="0.25">
      <c r="A48" s="25" t="s">
        <v>1303</v>
      </c>
      <c r="B48" s="26" t="s">
        <v>79</v>
      </c>
      <c r="C48" s="37" t="s">
        <v>439</v>
      </c>
      <c r="D48" s="26" t="s">
        <v>472</v>
      </c>
      <c r="E48" s="37" t="s">
        <v>84</v>
      </c>
      <c r="F48" s="39" t="s">
        <v>473</v>
      </c>
      <c r="G48" s="37" t="s">
        <v>440</v>
      </c>
      <c r="H48" s="27" t="s">
        <v>758</v>
      </c>
      <c r="I48" s="26"/>
      <c r="J48" s="1" t="b">
        <f t="shared" si="1"/>
        <v>1</v>
      </c>
    </row>
    <row r="49" spans="1:10" x14ac:dyDescent="0.25">
      <c r="A49" s="33" t="s">
        <v>447</v>
      </c>
      <c r="B49" s="26" t="s">
        <v>79</v>
      </c>
      <c r="C49" s="37" t="s">
        <v>101</v>
      </c>
      <c r="D49" s="32" t="s">
        <v>448</v>
      </c>
      <c r="E49" s="45" t="s">
        <v>84</v>
      </c>
      <c r="F49" s="39" t="s">
        <v>826</v>
      </c>
      <c r="G49" s="42" t="s">
        <v>88</v>
      </c>
      <c r="H49" s="27" t="s">
        <v>758</v>
      </c>
      <c r="I49" s="26"/>
      <c r="J49" s="1" t="b">
        <f t="shared" si="1"/>
        <v>1</v>
      </c>
    </row>
    <row r="50" spans="1:10" x14ac:dyDescent="0.25">
      <c r="A50" s="33" t="s">
        <v>1304</v>
      </c>
      <c r="B50" s="26" t="s">
        <v>78</v>
      </c>
      <c r="C50" s="37" t="s">
        <v>101</v>
      </c>
      <c r="D50" s="32" t="s">
        <v>901</v>
      </c>
      <c r="E50" s="45" t="s">
        <v>901</v>
      </c>
      <c r="F50" s="39" t="s">
        <v>901</v>
      </c>
      <c r="G50" s="39" t="s">
        <v>901</v>
      </c>
      <c r="H50" s="50" t="s">
        <v>901</v>
      </c>
      <c r="I50" s="26"/>
      <c r="J50" s="1" t="b">
        <f t="shared" si="1"/>
        <v>1</v>
      </c>
    </row>
    <row r="51" spans="1:10" x14ac:dyDescent="0.25">
      <c r="A51" s="33" t="s">
        <v>1305</v>
      </c>
      <c r="B51" s="26" t="s">
        <v>79</v>
      </c>
      <c r="C51" s="37" t="s">
        <v>101</v>
      </c>
      <c r="D51" s="32" t="s">
        <v>901</v>
      </c>
      <c r="E51" s="45" t="s">
        <v>901</v>
      </c>
      <c r="F51" s="39" t="s">
        <v>901</v>
      </c>
      <c r="G51" s="39" t="s">
        <v>901</v>
      </c>
      <c r="H51" s="50" t="s">
        <v>901</v>
      </c>
      <c r="I51" s="26"/>
      <c r="J51" s="1" t="b">
        <f t="shared" si="1"/>
        <v>1</v>
      </c>
    </row>
    <row r="52" spans="1:10" x14ac:dyDescent="0.25">
      <c r="A52" s="33" t="s">
        <v>1306</v>
      </c>
      <c r="B52" s="26" t="s">
        <v>80</v>
      </c>
      <c r="C52" s="37" t="s">
        <v>101</v>
      </c>
      <c r="D52" s="32" t="s">
        <v>901</v>
      </c>
      <c r="E52" s="45" t="s">
        <v>901</v>
      </c>
      <c r="F52" s="39" t="s">
        <v>901</v>
      </c>
      <c r="G52" s="39" t="s">
        <v>901</v>
      </c>
      <c r="H52" s="50" t="s">
        <v>901</v>
      </c>
      <c r="I52" s="26"/>
      <c r="J52" s="1" t="b">
        <f t="shared" si="1"/>
        <v>1</v>
      </c>
    </row>
    <row r="53" spans="1:10" x14ac:dyDescent="0.25">
      <c r="A53" s="33" t="s">
        <v>1307</v>
      </c>
      <c r="B53" s="26" t="s">
        <v>81</v>
      </c>
      <c r="C53" s="37" t="s">
        <v>101</v>
      </c>
      <c r="D53" s="32" t="s">
        <v>901</v>
      </c>
      <c r="E53" s="45" t="s">
        <v>901</v>
      </c>
      <c r="F53" s="39" t="s">
        <v>901</v>
      </c>
      <c r="G53" s="39" t="s">
        <v>901</v>
      </c>
      <c r="H53" s="50" t="s">
        <v>901</v>
      </c>
      <c r="I53" s="26"/>
      <c r="J53" s="1" t="b">
        <f t="shared" si="1"/>
        <v>1</v>
      </c>
    </row>
    <row r="54" spans="1:10" x14ac:dyDescent="0.25">
      <c r="A54" s="33" t="s">
        <v>1308</v>
      </c>
      <c r="B54" s="26" t="s">
        <v>82</v>
      </c>
      <c r="C54" s="37" t="s">
        <v>101</v>
      </c>
      <c r="D54" s="32" t="s">
        <v>901</v>
      </c>
      <c r="E54" s="45" t="s">
        <v>901</v>
      </c>
      <c r="F54" s="39" t="s">
        <v>901</v>
      </c>
      <c r="G54" s="39" t="s">
        <v>901</v>
      </c>
      <c r="H54" s="50" t="s">
        <v>901</v>
      </c>
      <c r="I54" s="26"/>
      <c r="J54" s="1" t="b">
        <f t="shared" si="1"/>
        <v>1</v>
      </c>
    </row>
    <row r="55" spans="1:10" x14ac:dyDescent="0.25">
      <c r="A55" s="33" t="s">
        <v>1309</v>
      </c>
      <c r="B55" s="26" t="s">
        <v>83</v>
      </c>
      <c r="C55" s="37" t="s">
        <v>101</v>
      </c>
      <c r="D55" s="32" t="s">
        <v>901</v>
      </c>
      <c r="E55" s="45" t="s">
        <v>901</v>
      </c>
      <c r="F55" s="39" t="s">
        <v>901</v>
      </c>
      <c r="G55" s="39" t="s">
        <v>901</v>
      </c>
      <c r="H55" s="50" t="s">
        <v>901</v>
      </c>
      <c r="I55" s="26"/>
      <c r="J55" s="1" t="b">
        <f t="shared" si="1"/>
        <v>1</v>
      </c>
    </row>
    <row r="56" spans="1:10" x14ac:dyDescent="0.25">
      <c r="A56" s="25" t="s">
        <v>1310</v>
      </c>
      <c r="B56" s="26" t="s">
        <v>81</v>
      </c>
      <c r="C56" s="37" t="s">
        <v>101</v>
      </c>
      <c r="D56" s="26" t="s">
        <v>535</v>
      </c>
      <c r="E56" s="37" t="s">
        <v>84</v>
      </c>
      <c r="F56" s="39" t="s">
        <v>826</v>
      </c>
      <c r="G56" s="37" t="s">
        <v>88</v>
      </c>
      <c r="H56" s="27" t="s">
        <v>758</v>
      </c>
      <c r="I56" s="26"/>
      <c r="J56" s="1" t="b">
        <f t="shared" si="1"/>
        <v>1</v>
      </c>
    </row>
    <row r="57" spans="1:10" x14ac:dyDescent="0.25">
      <c r="A57" s="33" t="s">
        <v>449</v>
      </c>
      <c r="B57" s="26" t="s">
        <v>79</v>
      </c>
      <c r="C57" s="37" t="s">
        <v>101</v>
      </c>
      <c r="D57" s="32" t="s">
        <v>450</v>
      </c>
      <c r="E57" s="45" t="s">
        <v>84</v>
      </c>
      <c r="F57" s="39" t="s">
        <v>826</v>
      </c>
      <c r="G57" s="42" t="s">
        <v>88</v>
      </c>
      <c r="H57" s="27" t="s">
        <v>760</v>
      </c>
      <c r="I57" s="26"/>
      <c r="J57" s="1" t="b">
        <f t="shared" si="1"/>
        <v>1</v>
      </c>
    </row>
    <row r="58" spans="1:10" x14ac:dyDescent="0.25">
      <c r="A58" s="25" t="s">
        <v>1311</v>
      </c>
      <c r="B58" s="26" t="s">
        <v>81</v>
      </c>
      <c r="C58" s="37" t="s">
        <v>101</v>
      </c>
      <c r="D58" s="26" t="s">
        <v>536</v>
      </c>
      <c r="E58" s="37" t="s">
        <v>84</v>
      </c>
      <c r="F58" s="39" t="s">
        <v>826</v>
      </c>
      <c r="G58" s="37" t="s">
        <v>88</v>
      </c>
      <c r="H58" s="27" t="s">
        <v>758</v>
      </c>
      <c r="I58" s="26"/>
      <c r="J58" s="1" t="b">
        <f t="shared" si="1"/>
        <v>1</v>
      </c>
    </row>
    <row r="59" spans="1:10" x14ac:dyDescent="0.25">
      <c r="A59" s="33" t="s">
        <v>1312</v>
      </c>
      <c r="B59" s="26" t="s">
        <v>78</v>
      </c>
      <c r="C59" s="37" t="s">
        <v>101</v>
      </c>
      <c r="D59" s="32" t="s">
        <v>413</v>
      </c>
      <c r="E59" s="45" t="s">
        <v>84</v>
      </c>
      <c r="F59" s="39" t="s">
        <v>826</v>
      </c>
      <c r="G59" s="40" t="s">
        <v>88</v>
      </c>
      <c r="H59" s="27" t="s">
        <v>758</v>
      </c>
      <c r="I59" s="28"/>
      <c r="J59" s="1" t="b">
        <f t="shared" si="1"/>
        <v>1</v>
      </c>
    </row>
    <row r="60" spans="1:10" x14ac:dyDescent="0.25">
      <c r="A60" s="25" t="s">
        <v>1313</v>
      </c>
      <c r="B60" s="26" t="s">
        <v>81</v>
      </c>
      <c r="C60" s="37" t="s">
        <v>439</v>
      </c>
      <c r="D60" s="26" t="s">
        <v>551</v>
      </c>
      <c r="E60" s="37" t="s">
        <v>84</v>
      </c>
      <c r="F60" s="39" t="s">
        <v>565</v>
      </c>
      <c r="G60" s="37" t="s">
        <v>440</v>
      </c>
      <c r="H60" s="27" t="s">
        <v>758</v>
      </c>
      <c r="I60" s="26"/>
      <c r="J60" s="1" t="b">
        <f t="shared" si="1"/>
        <v>1</v>
      </c>
    </row>
    <row r="61" spans="1:10" x14ac:dyDescent="0.25">
      <c r="A61" s="33" t="s">
        <v>451</v>
      </c>
      <c r="B61" s="26" t="s">
        <v>79</v>
      </c>
      <c r="C61" s="37" t="s">
        <v>101</v>
      </c>
      <c r="D61" s="32" t="s">
        <v>452</v>
      </c>
      <c r="E61" s="45" t="s">
        <v>84</v>
      </c>
      <c r="F61" s="39" t="s">
        <v>826</v>
      </c>
      <c r="G61" s="42" t="s">
        <v>88</v>
      </c>
      <c r="H61" s="27" t="s">
        <v>760</v>
      </c>
      <c r="I61" s="26"/>
      <c r="J61" s="1" t="b">
        <f t="shared" si="1"/>
        <v>1</v>
      </c>
    </row>
    <row r="62" spans="1:10" x14ac:dyDescent="0.25">
      <c r="A62" s="25" t="s">
        <v>1314</v>
      </c>
      <c r="B62" s="26" t="s">
        <v>81</v>
      </c>
      <c r="C62" s="37" t="s">
        <v>439</v>
      </c>
      <c r="D62" s="26" t="s">
        <v>552</v>
      </c>
      <c r="E62" s="37" t="s">
        <v>85</v>
      </c>
      <c r="F62" s="39" t="s">
        <v>566</v>
      </c>
      <c r="G62" s="37" t="s">
        <v>440</v>
      </c>
      <c r="H62" s="27" t="s">
        <v>759</v>
      </c>
      <c r="I62" s="26"/>
      <c r="J62" s="1" t="b">
        <f t="shared" si="1"/>
        <v>1</v>
      </c>
    </row>
    <row r="63" spans="1:10" x14ac:dyDescent="0.25">
      <c r="A63" s="25" t="s">
        <v>1315</v>
      </c>
      <c r="B63" s="26" t="s">
        <v>78</v>
      </c>
      <c r="C63" s="37" t="s">
        <v>439</v>
      </c>
      <c r="D63" s="26" t="s">
        <v>433</v>
      </c>
      <c r="E63" s="37" t="s">
        <v>84</v>
      </c>
      <c r="F63" s="39" t="s">
        <v>436</v>
      </c>
      <c r="G63" s="37" t="s">
        <v>440</v>
      </c>
      <c r="H63" s="27" t="s">
        <v>758</v>
      </c>
      <c r="I63" s="26"/>
      <c r="J63" s="1" t="b">
        <f t="shared" si="1"/>
        <v>1</v>
      </c>
    </row>
    <row r="64" spans="1:10" x14ac:dyDescent="0.25">
      <c r="A64" s="25" t="s">
        <v>483</v>
      </c>
      <c r="B64" s="26" t="s">
        <v>80</v>
      </c>
      <c r="C64" s="37" t="s">
        <v>101</v>
      </c>
      <c r="D64" s="26" t="s">
        <v>501</v>
      </c>
      <c r="E64" s="37" t="s">
        <v>84</v>
      </c>
      <c r="F64" s="39" t="s">
        <v>826</v>
      </c>
      <c r="G64" s="37" t="s">
        <v>88</v>
      </c>
      <c r="H64" s="27" t="s">
        <v>758</v>
      </c>
      <c r="I64" s="26"/>
      <c r="J64" s="1" t="b">
        <f t="shared" si="1"/>
        <v>1</v>
      </c>
    </row>
    <row r="65" spans="1:10" x14ac:dyDescent="0.25">
      <c r="A65" s="33" t="s">
        <v>414</v>
      </c>
      <c r="B65" s="26" t="s">
        <v>78</v>
      </c>
      <c r="C65" s="37" t="s">
        <v>101</v>
      </c>
      <c r="D65" s="32" t="s">
        <v>415</v>
      </c>
      <c r="E65" s="45" t="s">
        <v>84</v>
      </c>
      <c r="F65" s="39" t="s">
        <v>826</v>
      </c>
      <c r="G65" s="40" t="s">
        <v>88</v>
      </c>
      <c r="H65" s="27" t="s">
        <v>758</v>
      </c>
      <c r="I65" s="28"/>
      <c r="J65" s="1" t="b">
        <f t="shared" si="1"/>
        <v>1</v>
      </c>
    </row>
    <row r="66" spans="1:10" x14ac:dyDescent="0.25">
      <c r="A66" s="33" t="s">
        <v>453</v>
      </c>
      <c r="B66" s="26" t="s">
        <v>79</v>
      </c>
      <c r="C66" s="37" t="s">
        <v>101</v>
      </c>
      <c r="D66" s="32" t="s">
        <v>454</v>
      </c>
      <c r="E66" s="45" t="s">
        <v>84</v>
      </c>
      <c r="F66" s="39" t="s">
        <v>826</v>
      </c>
      <c r="G66" s="42" t="s">
        <v>88</v>
      </c>
      <c r="H66" s="27" t="s">
        <v>758</v>
      </c>
      <c r="I66" s="26"/>
      <c r="J66" s="1" t="b">
        <f t="shared" ref="J66:J97" si="2">ISNUMBER(SEARCH($K$1,A:A))</f>
        <v>1</v>
      </c>
    </row>
    <row r="67" spans="1:10" x14ac:dyDescent="0.25">
      <c r="A67" s="25" t="s">
        <v>1316</v>
      </c>
      <c r="B67" s="26" t="s">
        <v>82</v>
      </c>
      <c r="C67" s="37" t="s">
        <v>439</v>
      </c>
      <c r="D67" s="26" t="s">
        <v>596</v>
      </c>
      <c r="E67" s="37" t="s">
        <v>84</v>
      </c>
      <c r="F67" s="39" t="s">
        <v>478</v>
      </c>
      <c r="G67" s="37" t="s">
        <v>440</v>
      </c>
      <c r="H67" s="27" t="s">
        <v>758</v>
      </c>
      <c r="I67" s="26"/>
      <c r="J67" s="1" t="b">
        <f t="shared" si="2"/>
        <v>1</v>
      </c>
    </row>
    <row r="68" spans="1:10" x14ac:dyDescent="0.25">
      <c r="A68" s="25" t="s">
        <v>1317</v>
      </c>
      <c r="B68" s="26" t="s">
        <v>80</v>
      </c>
      <c r="C68" s="37" t="s">
        <v>101</v>
      </c>
      <c r="D68" s="26" t="s">
        <v>502</v>
      </c>
      <c r="E68" s="37" t="s">
        <v>84</v>
      </c>
      <c r="F68" s="39" t="s">
        <v>826</v>
      </c>
      <c r="G68" s="37" t="s">
        <v>88</v>
      </c>
      <c r="H68" s="27" t="s">
        <v>758</v>
      </c>
      <c r="I68" s="26"/>
      <c r="J68" s="1" t="b">
        <f t="shared" si="2"/>
        <v>1</v>
      </c>
    </row>
    <row r="69" spans="1:10" x14ac:dyDescent="0.25">
      <c r="A69" s="25" t="s">
        <v>1318</v>
      </c>
      <c r="B69" s="26" t="s">
        <v>80</v>
      </c>
      <c r="C69" s="37" t="s">
        <v>439</v>
      </c>
      <c r="D69" s="26" t="s">
        <v>519</v>
      </c>
      <c r="E69" s="37" t="s">
        <v>85</v>
      </c>
      <c r="F69" s="39" t="s">
        <v>523</v>
      </c>
      <c r="G69" s="37" t="s">
        <v>440</v>
      </c>
      <c r="H69" s="27" t="s">
        <v>759</v>
      </c>
      <c r="I69" s="26"/>
      <c r="J69" s="1" t="b">
        <f t="shared" si="2"/>
        <v>1</v>
      </c>
    </row>
    <row r="70" spans="1:10" x14ac:dyDescent="0.25">
      <c r="A70" s="25" t="s">
        <v>575</v>
      </c>
      <c r="B70" s="26" t="s">
        <v>82</v>
      </c>
      <c r="C70" s="37" t="s">
        <v>101</v>
      </c>
      <c r="D70" s="26" t="s">
        <v>588</v>
      </c>
      <c r="E70" s="37" t="s">
        <v>84</v>
      </c>
      <c r="F70" s="39" t="s">
        <v>826</v>
      </c>
      <c r="G70" s="37" t="s">
        <v>88</v>
      </c>
      <c r="H70" s="27" t="s">
        <v>757</v>
      </c>
      <c r="I70" s="26"/>
      <c r="J70" s="1" t="b">
        <f t="shared" si="2"/>
        <v>1</v>
      </c>
    </row>
    <row r="71" spans="1:10" x14ac:dyDescent="0.25">
      <c r="A71" s="25" t="s">
        <v>604</v>
      </c>
      <c r="B71" s="26" t="s">
        <v>83</v>
      </c>
      <c r="C71" s="37" t="s">
        <v>101</v>
      </c>
      <c r="D71" s="26" t="s">
        <v>614</v>
      </c>
      <c r="E71" s="37" t="s">
        <v>84</v>
      </c>
      <c r="F71" s="39" t="s">
        <v>826</v>
      </c>
      <c r="G71" s="37" t="s">
        <v>88</v>
      </c>
      <c r="H71" s="27" t="s">
        <v>757</v>
      </c>
      <c r="I71" s="26"/>
      <c r="J71" s="1" t="b">
        <f t="shared" si="2"/>
        <v>1</v>
      </c>
    </row>
    <row r="72" spans="1:10" x14ac:dyDescent="0.25">
      <c r="A72" s="33" t="s">
        <v>455</v>
      </c>
      <c r="B72" s="26" t="s">
        <v>79</v>
      </c>
      <c r="C72" s="37" t="s">
        <v>101</v>
      </c>
      <c r="D72" s="32" t="s">
        <v>456</v>
      </c>
      <c r="E72" s="45" t="s">
        <v>84</v>
      </c>
      <c r="F72" s="39" t="s">
        <v>826</v>
      </c>
      <c r="G72" s="42" t="s">
        <v>88</v>
      </c>
      <c r="H72" s="27" t="s">
        <v>760</v>
      </c>
      <c r="I72" s="26"/>
      <c r="J72" s="1" t="b">
        <f t="shared" si="2"/>
        <v>1</v>
      </c>
    </row>
    <row r="73" spans="1:10" x14ac:dyDescent="0.25">
      <c r="A73" s="25" t="s">
        <v>1319</v>
      </c>
      <c r="B73" s="26" t="s">
        <v>81</v>
      </c>
      <c r="C73" s="37" t="s">
        <v>101</v>
      </c>
      <c r="D73" s="26" t="s">
        <v>537</v>
      </c>
      <c r="E73" s="37" t="s">
        <v>85</v>
      </c>
      <c r="F73" s="39" t="s">
        <v>826</v>
      </c>
      <c r="G73" s="37" t="s">
        <v>88</v>
      </c>
      <c r="H73" s="27" t="s">
        <v>761</v>
      </c>
      <c r="I73" s="26"/>
      <c r="J73" s="1" t="b">
        <f t="shared" si="2"/>
        <v>1</v>
      </c>
    </row>
    <row r="74" spans="1:10" x14ac:dyDescent="0.25">
      <c r="A74" s="25" t="s">
        <v>605</v>
      </c>
      <c r="B74" s="26" t="s">
        <v>83</v>
      </c>
      <c r="C74" s="37" t="s">
        <v>101</v>
      </c>
      <c r="D74" s="26" t="s">
        <v>615</v>
      </c>
      <c r="E74" s="37" t="s">
        <v>84</v>
      </c>
      <c r="F74" s="39" t="s">
        <v>826</v>
      </c>
      <c r="G74" s="37" t="s">
        <v>88</v>
      </c>
      <c r="H74" s="27" t="s">
        <v>757</v>
      </c>
      <c r="I74" s="26"/>
      <c r="J74" s="1" t="b">
        <f t="shared" si="2"/>
        <v>1</v>
      </c>
    </row>
    <row r="75" spans="1:10" x14ac:dyDescent="0.25">
      <c r="A75" s="25" t="s">
        <v>1320</v>
      </c>
      <c r="B75" s="26" t="s">
        <v>83</v>
      </c>
      <c r="C75" s="37" t="s">
        <v>101</v>
      </c>
      <c r="D75" s="26" t="s">
        <v>616</v>
      </c>
      <c r="E75" s="37" t="s">
        <v>84</v>
      </c>
      <c r="F75" s="39" t="s">
        <v>826</v>
      </c>
      <c r="G75" s="37" t="s">
        <v>88</v>
      </c>
      <c r="H75" s="27" t="s">
        <v>757</v>
      </c>
      <c r="I75" s="26"/>
      <c r="J75" s="1" t="b">
        <f t="shared" si="2"/>
        <v>1</v>
      </c>
    </row>
    <row r="76" spans="1:10" x14ac:dyDescent="0.25">
      <c r="A76" s="29" t="s">
        <v>484</v>
      </c>
      <c r="B76" s="26" t="s">
        <v>80</v>
      </c>
      <c r="C76" s="37" t="s">
        <v>101</v>
      </c>
      <c r="D76" s="30" t="s">
        <v>503</v>
      </c>
      <c r="E76" s="37" t="s">
        <v>84</v>
      </c>
      <c r="F76" s="39" t="s">
        <v>826</v>
      </c>
      <c r="G76" s="37" t="s">
        <v>88</v>
      </c>
      <c r="H76" s="27" t="s">
        <v>760</v>
      </c>
      <c r="I76" s="26"/>
      <c r="J76" s="1" t="b">
        <f t="shared" si="2"/>
        <v>1</v>
      </c>
    </row>
    <row r="77" spans="1:10" x14ac:dyDescent="0.25">
      <c r="A77" s="25" t="s">
        <v>1321</v>
      </c>
      <c r="B77" s="26" t="s">
        <v>82</v>
      </c>
      <c r="C77" s="37" t="s">
        <v>439</v>
      </c>
      <c r="D77" s="26" t="s">
        <v>597</v>
      </c>
      <c r="E77" s="37" t="s">
        <v>84</v>
      </c>
      <c r="F77" s="39" t="s">
        <v>600</v>
      </c>
      <c r="G77" s="37" t="s">
        <v>440</v>
      </c>
      <c r="H77" s="27" t="s">
        <v>758</v>
      </c>
      <c r="I77" s="26"/>
      <c r="J77" s="1" t="b">
        <f t="shared" si="2"/>
        <v>1</v>
      </c>
    </row>
    <row r="78" spans="1:10" x14ac:dyDescent="0.25">
      <c r="A78" s="33" t="s">
        <v>1322</v>
      </c>
      <c r="B78" s="26" t="s">
        <v>79</v>
      </c>
      <c r="C78" s="37" t="s">
        <v>101</v>
      </c>
      <c r="D78" s="32" t="s">
        <v>457</v>
      </c>
      <c r="E78" s="45" t="s">
        <v>84</v>
      </c>
      <c r="F78" s="39" t="s">
        <v>826</v>
      </c>
      <c r="G78" s="42" t="s">
        <v>88</v>
      </c>
      <c r="H78" s="27" t="s">
        <v>758</v>
      </c>
      <c r="I78" s="26"/>
      <c r="J78" s="1" t="b">
        <f t="shared" si="2"/>
        <v>1</v>
      </c>
    </row>
    <row r="79" spans="1:10" x14ac:dyDescent="0.25">
      <c r="A79" s="33" t="s">
        <v>416</v>
      </c>
      <c r="B79" s="26" t="s">
        <v>78</v>
      </c>
      <c r="C79" s="37" t="s">
        <v>101</v>
      </c>
      <c r="D79" s="32" t="s">
        <v>417</v>
      </c>
      <c r="E79" s="45" t="s">
        <v>84</v>
      </c>
      <c r="F79" s="39" t="s">
        <v>826</v>
      </c>
      <c r="G79" s="40" t="s">
        <v>88</v>
      </c>
      <c r="H79" s="27" t="s">
        <v>757</v>
      </c>
      <c r="I79" s="28"/>
      <c r="J79" s="1" t="b">
        <f t="shared" si="2"/>
        <v>1</v>
      </c>
    </row>
    <row r="80" spans="1:10" x14ac:dyDescent="0.25">
      <c r="A80" s="29" t="s">
        <v>1323</v>
      </c>
      <c r="B80" s="26" t="s">
        <v>81</v>
      </c>
      <c r="C80" s="38" t="s">
        <v>101</v>
      </c>
      <c r="D80" s="30" t="s">
        <v>538</v>
      </c>
      <c r="E80" s="38" t="s">
        <v>84</v>
      </c>
      <c r="F80" s="39" t="s">
        <v>826</v>
      </c>
      <c r="G80" s="38" t="s">
        <v>88</v>
      </c>
      <c r="H80" s="27" t="s">
        <v>760</v>
      </c>
      <c r="I80" s="26"/>
      <c r="J80" s="1" t="b">
        <f t="shared" si="2"/>
        <v>1</v>
      </c>
    </row>
    <row r="81" spans="1:10" x14ac:dyDescent="0.25">
      <c r="A81" s="25" t="s">
        <v>485</v>
      </c>
      <c r="B81" s="26" t="s">
        <v>80</v>
      </c>
      <c r="C81" s="37" t="s">
        <v>101</v>
      </c>
      <c r="D81" s="26" t="s">
        <v>504</v>
      </c>
      <c r="E81" s="37" t="s">
        <v>84</v>
      </c>
      <c r="F81" s="39" t="s">
        <v>826</v>
      </c>
      <c r="G81" s="37" t="s">
        <v>88</v>
      </c>
      <c r="H81" s="27" t="s">
        <v>760</v>
      </c>
      <c r="I81" s="26"/>
      <c r="J81" s="1" t="b">
        <f t="shared" si="2"/>
        <v>1</v>
      </c>
    </row>
    <row r="82" spans="1:10" x14ac:dyDescent="0.25">
      <c r="A82" s="25" t="s">
        <v>576</v>
      </c>
      <c r="B82" s="26" t="s">
        <v>82</v>
      </c>
      <c r="C82" s="37" t="s">
        <v>101</v>
      </c>
      <c r="D82" s="26" t="s">
        <v>589</v>
      </c>
      <c r="E82" s="37" t="s">
        <v>84</v>
      </c>
      <c r="F82" s="39" t="s">
        <v>826</v>
      </c>
      <c r="G82" s="37" t="s">
        <v>88</v>
      </c>
      <c r="H82" s="27" t="s">
        <v>758</v>
      </c>
      <c r="I82" s="26"/>
      <c r="J82" s="1" t="b">
        <f t="shared" si="2"/>
        <v>1</v>
      </c>
    </row>
    <row r="83" spans="1:10" x14ac:dyDescent="0.25">
      <c r="A83" s="33" t="s">
        <v>66</v>
      </c>
      <c r="B83" s="26" t="s">
        <v>79</v>
      </c>
      <c r="C83" s="37" t="s">
        <v>101</v>
      </c>
      <c r="D83" s="32" t="s">
        <v>458</v>
      </c>
      <c r="E83" s="45" t="s">
        <v>84</v>
      </c>
      <c r="F83" s="39" t="s">
        <v>826</v>
      </c>
      <c r="G83" s="42" t="s">
        <v>88</v>
      </c>
      <c r="H83" s="27" t="s">
        <v>758</v>
      </c>
      <c r="I83" s="26"/>
      <c r="J83" s="1" t="b">
        <f t="shared" si="2"/>
        <v>1</v>
      </c>
    </row>
    <row r="84" spans="1:10" x14ac:dyDescent="0.25">
      <c r="A84" s="33" t="s">
        <v>459</v>
      </c>
      <c r="B84" s="26" t="s">
        <v>79</v>
      </c>
      <c r="C84" s="37" t="s">
        <v>101</v>
      </c>
      <c r="D84" s="32" t="s">
        <v>460</v>
      </c>
      <c r="E84" s="45" t="s">
        <v>84</v>
      </c>
      <c r="F84" s="39" t="s">
        <v>826</v>
      </c>
      <c r="G84" s="41" t="s">
        <v>480</v>
      </c>
      <c r="H84" s="27" t="s">
        <v>758</v>
      </c>
      <c r="I84" s="26"/>
      <c r="J84" s="1" t="b">
        <f t="shared" si="2"/>
        <v>1</v>
      </c>
    </row>
    <row r="85" spans="1:10" x14ac:dyDescent="0.25">
      <c r="A85" s="25" t="s">
        <v>1324</v>
      </c>
      <c r="B85" s="26" t="s">
        <v>80</v>
      </c>
      <c r="C85" s="37" t="s">
        <v>439</v>
      </c>
      <c r="D85" s="26" t="s">
        <v>520</v>
      </c>
      <c r="E85" s="37" t="s">
        <v>84</v>
      </c>
      <c r="F85" s="39" t="s">
        <v>524</v>
      </c>
      <c r="G85" s="37" t="s">
        <v>440</v>
      </c>
      <c r="H85" s="27" t="s">
        <v>758</v>
      </c>
      <c r="I85" s="26"/>
      <c r="J85" s="1" t="b">
        <f t="shared" si="2"/>
        <v>1</v>
      </c>
    </row>
    <row r="86" spans="1:10" x14ac:dyDescent="0.25">
      <c r="A86" s="25" t="s">
        <v>1325</v>
      </c>
      <c r="B86" s="26" t="s">
        <v>81</v>
      </c>
      <c r="C86" s="37" t="s">
        <v>439</v>
      </c>
      <c r="D86" s="26" t="s">
        <v>553</v>
      </c>
      <c r="E86" s="37" t="s">
        <v>84</v>
      </c>
      <c r="F86" s="39" t="s">
        <v>564</v>
      </c>
      <c r="G86" s="37" t="s">
        <v>440</v>
      </c>
      <c r="H86" s="27" t="s">
        <v>758</v>
      </c>
      <c r="I86" s="26"/>
      <c r="J86" s="1" t="b">
        <f t="shared" si="2"/>
        <v>1</v>
      </c>
    </row>
    <row r="87" spans="1:10" x14ac:dyDescent="0.25">
      <c r="A87" s="25" t="s">
        <v>1326</v>
      </c>
      <c r="B87" s="26" t="s">
        <v>82</v>
      </c>
      <c r="C87" s="37" t="s">
        <v>439</v>
      </c>
      <c r="D87" s="26" t="s">
        <v>598</v>
      </c>
      <c r="E87" s="37" t="s">
        <v>85</v>
      </c>
      <c r="F87" s="39" t="s">
        <v>601</v>
      </c>
      <c r="G87" s="37" t="s">
        <v>440</v>
      </c>
      <c r="H87" s="27" t="s">
        <v>759</v>
      </c>
      <c r="I87" s="26"/>
      <c r="J87" s="1" t="b">
        <f t="shared" si="2"/>
        <v>1</v>
      </c>
    </row>
    <row r="88" spans="1:10" x14ac:dyDescent="0.25">
      <c r="A88" s="25" t="s">
        <v>1327</v>
      </c>
      <c r="B88" s="26" t="s">
        <v>81</v>
      </c>
      <c r="C88" s="37" t="s">
        <v>439</v>
      </c>
      <c r="D88" s="26" t="s">
        <v>554</v>
      </c>
      <c r="E88" s="37" t="s">
        <v>84</v>
      </c>
      <c r="F88" s="39" t="s">
        <v>567</v>
      </c>
      <c r="G88" s="37" t="s">
        <v>440</v>
      </c>
      <c r="H88" s="27" t="s">
        <v>758</v>
      </c>
      <c r="I88" s="26"/>
      <c r="J88" s="1" t="b">
        <f t="shared" si="2"/>
        <v>1</v>
      </c>
    </row>
    <row r="89" spans="1:10" x14ac:dyDescent="0.25">
      <c r="A89" s="33" t="s">
        <v>418</v>
      </c>
      <c r="B89" s="26" t="s">
        <v>78</v>
      </c>
      <c r="C89" s="37" t="s">
        <v>101</v>
      </c>
      <c r="D89" s="32" t="s">
        <v>419</v>
      </c>
      <c r="E89" s="45" t="s">
        <v>84</v>
      </c>
      <c r="F89" s="39" t="s">
        <v>826</v>
      </c>
      <c r="G89" s="40" t="s">
        <v>88</v>
      </c>
      <c r="H89" s="27" t="s">
        <v>757</v>
      </c>
      <c r="I89" s="28"/>
      <c r="J89" s="1" t="b">
        <f t="shared" si="2"/>
        <v>1</v>
      </c>
    </row>
    <row r="90" spans="1:10" x14ac:dyDescent="0.25">
      <c r="A90" s="33" t="s">
        <v>461</v>
      </c>
      <c r="B90" s="26" t="s">
        <v>79</v>
      </c>
      <c r="C90" s="37" t="s">
        <v>101</v>
      </c>
      <c r="D90" s="32" t="s">
        <v>462</v>
      </c>
      <c r="E90" s="45" t="s">
        <v>84</v>
      </c>
      <c r="F90" s="39" t="s">
        <v>826</v>
      </c>
      <c r="G90" s="42" t="s">
        <v>88</v>
      </c>
      <c r="H90" s="27" t="s">
        <v>758</v>
      </c>
      <c r="I90" s="26"/>
      <c r="J90" s="1" t="b">
        <f t="shared" si="2"/>
        <v>1</v>
      </c>
    </row>
    <row r="91" spans="1:10" x14ac:dyDescent="0.25">
      <c r="A91" s="25" t="s">
        <v>893</v>
      </c>
      <c r="B91" s="26" t="s">
        <v>78</v>
      </c>
      <c r="C91" s="37" t="s">
        <v>439</v>
      </c>
      <c r="D91" s="26" t="s">
        <v>894</v>
      </c>
      <c r="E91" s="37" t="s">
        <v>84</v>
      </c>
      <c r="F91" s="39" t="s">
        <v>895</v>
      </c>
      <c r="G91" s="37" t="s">
        <v>440</v>
      </c>
      <c r="H91" s="48" t="s">
        <v>758</v>
      </c>
      <c r="I91" s="26"/>
      <c r="J91" s="1" t="b">
        <f t="shared" si="2"/>
        <v>1</v>
      </c>
    </row>
    <row r="92" spans="1:10" x14ac:dyDescent="0.25">
      <c r="A92" s="25" t="s">
        <v>1328</v>
      </c>
      <c r="B92" s="26" t="s">
        <v>81</v>
      </c>
      <c r="C92" s="37" t="s">
        <v>101</v>
      </c>
      <c r="D92" s="26" t="s">
        <v>539</v>
      </c>
      <c r="E92" s="37" t="s">
        <v>84</v>
      </c>
      <c r="F92" s="39" t="s">
        <v>826</v>
      </c>
      <c r="G92" s="37" t="s">
        <v>88</v>
      </c>
      <c r="H92" s="27" t="s">
        <v>760</v>
      </c>
      <c r="I92" s="26"/>
      <c r="J92" s="1" t="b">
        <f t="shared" si="2"/>
        <v>1</v>
      </c>
    </row>
    <row r="93" spans="1:10" x14ac:dyDescent="0.25">
      <c r="A93" s="25" t="s">
        <v>606</v>
      </c>
      <c r="B93" s="26" t="s">
        <v>83</v>
      </c>
      <c r="C93" s="37" t="s">
        <v>101</v>
      </c>
      <c r="D93" s="26" t="s">
        <v>617</v>
      </c>
      <c r="E93" s="37" t="s">
        <v>84</v>
      </c>
      <c r="F93" s="39" t="s">
        <v>826</v>
      </c>
      <c r="G93" s="37" t="s">
        <v>88</v>
      </c>
      <c r="H93" s="27" t="s">
        <v>760</v>
      </c>
      <c r="I93" s="31" t="s">
        <v>624</v>
      </c>
      <c r="J93" s="1" t="b">
        <f t="shared" si="2"/>
        <v>1</v>
      </c>
    </row>
    <row r="94" spans="1:10" x14ac:dyDescent="0.25">
      <c r="A94" s="25" t="s">
        <v>580</v>
      </c>
      <c r="B94" s="26" t="s">
        <v>82</v>
      </c>
      <c r="C94" s="37" t="s">
        <v>101</v>
      </c>
      <c r="D94" s="26" t="s">
        <v>590</v>
      </c>
      <c r="E94" s="37" t="s">
        <v>84</v>
      </c>
      <c r="F94" s="39" t="s">
        <v>826</v>
      </c>
      <c r="G94" s="37"/>
      <c r="H94" s="27" t="s">
        <v>758</v>
      </c>
      <c r="I94" s="31" t="s">
        <v>581</v>
      </c>
      <c r="J94" s="1" t="b">
        <f t="shared" si="2"/>
        <v>1</v>
      </c>
    </row>
    <row r="95" spans="1:10" x14ac:dyDescent="0.25">
      <c r="A95" s="25" t="s">
        <v>1329</v>
      </c>
      <c r="B95" s="26" t="s">
        <v>81</v>
      </c>
      <c r="C95" s="37" t="s">
        <v>439</v>
      </c>
      <c r="D95" s="26" t="s">
        <v>555</v>
      </c>
      <c r="E95" s="37" t="s">
        <v>85</v>
      </c>
      <c r="F95" s="39" t="s">
        <v>568</v>
      </c>
      <c r="G95" s="37" t="s">
        <v>440</v>
      </c>
      <c r="H95" s="27" t="s">
        <v>759</v>
      </c>
      <c r="I95" s="26"/>
      <c r="J95" s="1" t="b">
        <f t="shared" si="2"/>
        <v>1</v>
      </c>
    </row>
    <row r="96" spans="1:10" x14ac:dyDescent="0.25">
      <c r="A96" s="25" t="s">
        <v>1330</v>
      </c>
      <c r="B96" s="26" t="s">
        <v>81</v>
      </c>
      <c r="C96" s="37" t="s">
        <v>439</v>
      </c>
      <c r="D96" s="26" t="s">
        <v>556</v>
      </c>
      <c r="E96" s="37" t="s">
        <v>84</v>
      </c>
      <c r="F96" s="39" t="s">
        <v>568</v>
      </c>
      <c r="G96" s="37" t="s">
        <v>440</v>
      </c>
      <c r="H96" s="27" t="s">
        <v>758</v>
      </c>
      <c r="I96" s="26"/>
      <c r="J96" s="1" t="b">
        <f t="shared" si="2"/>
        <v>1</v>
      </c>
    </row>
    <row r="97" spans="1:10" x14ac:dyDescent="0.25">
      <c r="A97" s="25" t="s">
        <v>1331</v>
      </c>
      <c r="B97" s="26" t="s">
        <v>80</v>
      </c>
      <c r="C97" s="37" t="s">
        <v>101</v>
      </c>
      <c r="D97" s="26" t="s">
        <v>505</v>
      </c>
      <c r="E97" s="37" t="s">
        <v>84</v>
      </c>
      <c r="F97" s="39" t="s">
        <v>826</v>
      </c>
      <c r="G97" s="37" t="s">
        <v>88</v>
      </c>
      <c r="H97" s="27" t="s">
        <v>760</v>
      </c>
      <c r="I97" s="26"/>
      <c r="J97" s="1" t="b">
        <f t="shared" si="2"/>
        <v>1</v>
      </c>
    </row>
    <row r="98" spans="1:10" x14ac:dyDescent="0.25">
      <c r="A98" s="25" t="s">
        <v>1332</v>
      </c>
      <c r="B98" s="26" t="s">
        <v>83</v>
      </c>
      <c r="C98" s="37" t="s">
        <v>439</v>
      </c>
      <c r="D98" s="26" t="s">
        <v>625</v>
      </c>
      <c r="E98" s="37" t="s">
        <v>84</v>
      </c>
      <c r="F98" s="39" t="s">
        <v>473</v>
      </c>
      <c r="G98" s="37" t="s">
        <v>440</v>
      </c>
      <c r="H98" s="27" t="s">
        <v>758</v>
      </c>
      <c r="I98" s="26"/>
      <c r="J98" s="1" t="b">
        <f t="shared" ref="J98:J129" si="3">ISNUMBER(SEARCH($K$1,A:A))</f>
        <v>1</v>
      </c>
    </row>
    <row r="99" spans="1:10" x14ac:dyDescent="0.25">
      <c r="A99" s="33" t="s">
        <v>420</v>
      </c>
      <c r="B99" s="26" t="s">
        <v>78</v>
      </c>
      <c r="C99" s="37" t="s">
        <v>101</v>
      </c>
      <c r="D99" s="32" t="s">
        <v>421</v>
      </c>
      <c r="E99" s="45" t="s">
        <v>84</v>
      </c>
      <c r="F99" s="39" t="s">
        <v>826</v>
      </c>
      <c r="G99" s="40" t="s">
        <v>88</v>
      </c>
      <c r="H99" s="27" t="s">
        <v>757</v>
      </c>
      <c r="I99" s="28"/>
      <c r="J99" s="1" t="b">
        <f t="shared" si="3"/>
        <v>1</v>
      </c>
    </row>
    <row r="100" spans="1:10" x14ac:dyDescent="0.25">
      <c r="A100" s="25" t="s">
        <v>577</v>
      </c>
      <c r="B100" s="26" t="s">
        <v>82</v>
      </c>
      <c r="C100" s="37" t="s">
        <v>101</v>
      </c>
      <c r="D100" s="26" t="s">
        <v>591</v>
      </c>
      <c r="E100" s="37" t="s">
        <v>84</v>
      </c>
      <c r="F100" s="39" t="s">
        <v>826</v>
      </c>
      <c r="G100" s="37" t="s">
        <v>88</v>
      </c>
      <c r="H100" s="27" t="s">
        <v>757</v>
      </c>
      <c r="I100" s="26"/>
      <c r="J100" s="1" t="b">
        <f t="shared" si="3"/>
        <v>1</v>
      </c>
    </row>
    <row r="101" spans="1:10" x14ac:dyDescent="0.25">
      <c r="A101" s="29" t="s">
        <v>1333</v>
      </c>
      <c r="B101" s="26" t="s">
        <v>78</v>
      </c>
      <c r="C101" s="37" t="s">
        <v>439</v>
      </c>
      <c r="D101" s="30" t="s">
        <v>434</v>
      </c>
      <c r="E101" s="37" t="s">
        <v>84</v>
      </c>
      <c r="F101" s="39" t="s">
        <v>437</v>
      </c>
      <c r="G101" s="37" t="s">
        <v>440</v>
      </c>
      <c r="H101" s="27" t="s">
        <v>758</v>
      </c>
      <c r="I101" s="26"/>
      <c r="J101" s="1" t="b">
        <f t="shared" si="3"/>
        <v>1</v>
      </c>
    </row>
    <row r="102" spans="1:10" x14ac:dyDescent="0.25">
      <c r="A102" s="25" t="s">
        <v>607</v>
      </c>
      <c r="B102" s="26" t="s">
        <v>83</v>
      </c>
      <c r="C102" s="37" t="s">
        <v>101</v>
      </c>
      <c r="D102" s="26" t="s">
        <v>618</v>
      </c>
      <c r="E102" s="37" t="s">
        <v>84</v>
      </c>
      <c r="F102" s="39" t="s">
        <v>826</v>
      </c>
      <c r="G102" s="37" t="s">
        <v>88</v>
      </c>
      <c r="H102" s="27" t="s">
        <v>760</v>
      </c>
      <c r="I102" s="26"/>
      <c r="J102" s="1" t="b">
        <f t="shared" si="3"/>
        <v>1</v>
      </c>
    </row>
    <row r="103" spans="1:10" x14ac:dyDescent="0.25">
      <c r="A103" s="25" t="s">
        <v>486</v>
      </c>
      <c r="B103" s="26" t="s">
        <v>80</v>
      </c>
      <c r="C103" s="37" t="s">
        <v>101</v>
      </c>
      <c r="D103" s="26" t="s">
        <v>506</v>
      </c>
      <c r="E103" s="37" t="s">
        <v>84</v>
      </c>
      <c r="F103" s="39" t="s">
        <v>826</v>
      </c>
      <c r="G103" s="37" t="s">
        <v>88</v>
      </c>
      <c r="H103" s="27" t="s">
        <v>760</v>
      </c>
      <c r="I103" s="26"/>
      <c r="J103" s="1" t="b">
        <f t="shared" si="3"/>
        <v>1</v>
      </c>
    </row>
    <row r="104" spans="1:10" x14ac:dyDescent="0.25">
      <c r="A104" s="25" t="s">
        <v>487</v>
      </c>
      <c r="B104" s="26" t="s">
        <v>80</v>
      </c>
      <c r="C104" s="37" t="s">
        <v>101</v>
      </c>
      <c r="D104" s="26" t="s">
        <v>507</v>
      </c>
      <c r="E104" s="37" t="s">
        <v>84</v>
      </c>
      <c r="F104" s="39" t="s">
        <v>826</v>
      </c>
      <c r="G104" s="37" t="s">
        <v>88</v>
      </c>
      <c r="H104" s="27" t="s">
        <v>760</v>
      </c>
      <c r="I104" s="26"/>
      <c r="J104" s="1" t="b">
        <f t="shared" si="3"/>
        <v>1</v>
      </c>
    </row>
    <row r="105" spans="1:10" x14ac:dyDescent="0.25">
      <c r="A105" s="25" t="s">
        <v>488</v>
      </c>
      <c r="B105" s="26" t="s">
        <v>80</v>
      </c>
      <c r="C105" s="37" t="s">
        <v>101</v>
      </c>
      <c r="D105" s="26" t="s">
        <v>508</v>
      </c>
      <c r="E105" s="37" t="s">
        <v>84</v>
      </c>
      <c r="F105" s="39" t="s">
        <v>826</v>
      </c>
      <c r="G105" s="37" t="s">
        <v>88</v>
      </c>
      <c r="H105" s="27" t="s">
        <v>760</v>
      </c>
      <c r="I105" s="26"/>
      <c r="J105" s="1" t="b">
        <f t="shared" si="3"/>
        <v>1</v>
      </c>
    </row>
    <row r="106" spans="1:10" x14ac:dyDescent="0.25">
      <c r="A106" s="33" t="s">
        <v>422</v>
      </c>
      <c r="B106" s="26" t="s">
        <v>78</v>
      </c>
      <c r="C106" s="37" t="s">
        <v>101</v>
      </c>
      <c r="D106" s="32" t="s">
        <v>423</v>
      </c>
      <c r="E106" s="45" t="s">
        <v>84</v>
      </c>
      <c r="F106" s="39" t="s">
        <v>826</v>
      </c>
      <c r="G106" s="40" t="s">
        <v>88</v>
      </c>
      <c r="H106" s="27" t="s">
        <v>757</v>
      </c>
      <c r="I106" s="28"/>
      <c r="J106" s="1" t="b">
        <f t="shared" si="3"/>
        <v>1</v>
      </c>
    </row>
    <row r="107" spans="1:10" x14ac:dyDescent="0.25">
      <c r="A107" s="25" t="s">
        <v>608</v>
      </c>
      <c r="B107" s="26" t="s">
        <v>83</v>
      </c>
      <c r="C107" s="37" t="s">
        <v>101</v>
      </c>
      <c r="D107" s="26" t="s">
        <v>619</v>
      </c>
      <c r="E107" s="37" t="s">
        <v>84</v>
      </c>
      <c r="F107" s="39" t="s">
        <v>826</v>
      </c>
      <c r="G107" s="37" t="s">
        <v>88</v>
      </c>
      <c r="H107" s="27" t="s">
        <v>757</v>
      </c>
      <c r="I107" s="26"/>
      <c r="J107" s="1" t="b">
        <f t="shared" si="3"/>
        <v>1</v>
      </c>
    </row>
    <row r="108" spans="1:10" x14ac:dyDescent="0.25">
      <c r="A108" s="25" t="s">
        <v>1334</v>
      </c>
      <c r="B108" s="26" t="s">
        <v>81</v>
      </c>
      <c r="C108" s="37" t="s">
        <v>439</v>
      </c>
      <c r="D108" s="26" t="s">
        <v>557</v>
      </c>
      <c r="E108" s="37" t="s">
        <v>85</v>
      </c>
      <c r="F108" s="39" t="s">
        <v>566</v>
      </c>
      <c r="G108" s="37" t="s">
        <v>440</v>
      </c>
      <c r="H108" s="27" t="s">
        <v>759</v>
      </c>
      <c r="I108" s="26"/>
      <c r="J108" s="1" t="b">
        <f t="shared" si="3"/>
        <v>1</v>
      </c>
    </row>
    <row r="109" spans="1:10" x14ac:dyDescent="0.25">
      <c r="A109" s="25" t="s">
        <v>1335</v>
      </c>
      <c r="B109" s="26" t="s">
        <v>82</v>
      </c>
      <c r="C109" s="37" t="s">
        <v>101</v>
      </c>
      <c r="D109" s="26" t="s">
        <v>592</v>
      </c>
      <c r="E109" s="37" t="s">
        <v>84</v>
      </c>
      <c r="F109" s="39" t="s">
        <v>826</v>
      </c>
      <c r="G109" s="37" t="s">
        <v>88</v>
      </c>
      <c r="H109" s="27" t="s">
        <v>760</v>
      </c>
      <c r="I109" s="26"/>
      <c r="J109" s="1" t="b">
        <f t="shared" si="3"/>
        <v>1</v>
      </c>
    </row>
    <row r="110" spans="1:10" x14ac:dyDescent="0.25">
      <c r="A110" s="25" t="s">
        <v>489</v>
      </c>
      <c r="B110" s="26" t="s">
        <v>80</v>
      </c>
      <c r="C110" s="37" t="s">
        <v>101</v>
      </c>
      <c r="D110" s="26" t="s">
        <v>509</v>
      </c>
      <c r="E110" s="37" t="s">
        <v>84</v>
      </c>
      <c r="F110" s="39" t="s">
        <v>826</v>
      </c>
      <c r="G110" s="37" t="s">
        <v>88</v>
      </c>
      <c r="H110" s="27" t="s">
        <v>760</v>
      </c>
      <c r="I110" s="26"/>
      <c r="J110" s="1" t="b">
        <f t="shared" si="3"/>
        <v>1</v>
      </c>
    </row>
    <row r="111" spans="1:10" x14ac:dyDescent="0.25">
      <c r="A111" s="25" t="s">
        <v>1336</v>
      </c>
      <c r="B111" s="26" t="s">
        <v>80</v>
      </c>
      <c r="C111" s="37" t="s">
        <v>439</v>
      </c>
      <c r="D111" s="26" t="s">
        <v>521</v>
      </c>
      <c r="E111" s="37" t="s">
        <v>85</v>
      </c>
      <c r="F111" s="39" t="s">
        <v>437</v>
      </c>
      <c r="G111" s="37" t="s">
        <v>440</v>
      </c>
      <c r="H111" s="27" t="s">
        <v>759</v>
      </c>
      <c r="I111" s="26"/>
      <c r="J111" s="1" t="b">
        <f t="shared" si="3"/>
        <v>1</v>
      </c>
    </row>
    <row r="112" spans="1:10" x14ac:dyDescent="0.25">
      <c r="A112" s="25" t="s">
        <v>1337</v>
      </c>
      <c r="B112" s="26" t="s">
        <v>81</v>
      </c>
      <c r="C112" s="37" t="s">
        <v>439</v>
      </c>
      <c r="D112" s="26" t="s">
        <v>558</v>
      </c>
      <c r="E112" s="37" t="s">
        <v>85</v>
      </c>
      <c r="F112" s="39" t="s">
        <v>569</v>
      </c>
      <c r="G112" s="37" t="s">
        <v>440</v>
      </c>
      <c r="H112" s="27" t="s">
        <v>759</v>
      </c>
      <c r="I112" s="26"/>
      <c r="J112" s="1" t="b">
        <f t="shared" si="3"/>
        <v>1</v>
      </c>
    </row>
    <row r="113" spans="1:10" x14ac:dyDescent="0.25">
      <c r="A113" s="25" t="s">
        <v>490</v>
      </c>
      <c r="B113" s="26" t="s">
        <v>80</v>
      </c>
      <c r="C113" s="37" t="s">
        <v>101</v>
      </c>
      <c r="D113" s="26" t="s">
        <v>510</v>
      </c>
      <c r="E113" s="37" t="s">
        <v>84</v>
      </c>
      <c r="F113" s="39" t="s">
        <v>826</v>
      </c>
      <c r="G113" s="37" t="s">
        <v>88</v>
      </c>
      <c r="H113" s="27" t="s">
        <v>760</v>
      </c>
      <c r="I113" s="26"/>
      <c r="J113" s="1" t="b">
        <f t="shared" si="3"/>
        <v>1</v>
      </c>
    </row>
    <row r="114" spans="1:10" x14ac:dyDescent="0.25">
      <c r="A114" s="25" t="s">
        <v>1338</v>
      </c>
      <c r="B114" s="26" t="s">
        <v>81</v>
      </c>
      <c r="C114" s="37" t="s">
        <v>101</v>
      </c>
      <c r="D114" s="26" t="s">
        <v>540</v>
      </c>
      <c r="E114" s="37" t="s">
        <v>84</v>
      </c>
      <c r="F114" s="39" t="s">
        <v>826</v>
      </c>
      <c r="G114" s="37" t="s">
        <v>88</v>
      </c>
      <c r="H114" s="27" t="s">
        <v>757</v>
      </c>
      <c r="I114" s="26"/>
      <c r="J114" s="1" t="b">
        <f t="shared" si="3"/>
        <v>1</v>
      </c>
    </row>
    <row r="115" spans="1:10" x14ac:dyDescent="0.25">
      <c r="A115" s="29" t="s">
        <v>1339</v>
      </c>
      <c r="B115" s="26" t="s">
        <v>79</v>
      </c>
      <c r="C115" s="37" t="s">
        <v>439</v>
      </c>
      <c r="D115" s="30" t="s">
        <v>896</v>
      </c>
      <c r="E115" s="38" t="s">
        <v>84</v>
      </c>
      <c r="F115" s="39" t="s">
        <v>479</v>
      </c>
      <c r="G115" s="37" t="s">
        <v>440</v>
      </c>
      <c r="H115" s="48" t="s">
        <v>758</v>
      </c>
      <c r="I115" s="26"/>
      <c r="J115" s="1" t="b">
        <f t="shared" si="3"/>
        <v>1</v>
      </c>
    </row>
    <row r="116" spans="1:10" x14ac:dyDescent="0.25">
      <c r="A116" s="25" t="s">
        <v>578</v>
      </c>
      <c r="B116" s="26" t="s">
        <v>82</v>
      </c>
      <c r="C116" s="37" t="s">
        <v>101</v>
      </c>
      <c r="D116" s="26" t="s">
        <v>593</v>
      </c>
      <c r="E116" s="37" t="s">
        <v>84</v>
      </c>
      <c r="F116" s="39" t="s">
        <v>826</v>
      </c>
      <c r="G116" s="37" t="s">
        <v>88</v>
      </c>
      <c r="H116" s="27" t="s">
        <v>758</v>
      </c>
      <c r="I116" s="26"/>
      <c r="J116" s="1" t="b">
        <f t="shared" si="3"/>
        <v>1</v>
      </c>
    </row>
    <row r="117" spans="1:10" x14ac:dyDescent="0.25">
      <c r="A117" s="25" t="s">
        <v>1340</v>
      </c>
      <c r="B117" s="26" t="s">
        <v>81</v>
      </c>
      <c r="C117" s="37" t="s">
        <v>101</v>
      </c>
      <c r="D117" s="26" t="s">
        <v>541</v>
      </c>
      <c r="E117" s="37" t="s">
        <v>84</v>
      </c>
      <c r="F117" s="39" t="s">
        <v>826</v>
      </c>
      <c r="G117" s="37" t="s">
        <v>88</v>
      </c>
      <c r="H117" s="27" t="s">
        <v>757</v>
      </c>
      <c r="I117" s="26"/>
      <c r="J117" s="1" t="b">
        <f t="shared" si="3"/>
        <v>1</v>
      </c>
    </row>
    <row r="118" spans="1:10" x14ac:dyDescent="0.25">
      <c r="A118" s="33" t="s">
        <v>424</v>
      </c>
      <c r="B118" s="26" t="s">
        <v>78</v>
      </c>
      <c r="C118" s="37" t="s">
        <v>101</v>
      </c>
      <c r="D118" s="32" t="s">
        <v>425</v>
      </c>
      <c r="E118" s="45" t="s">
        <v>84</v>
      </c>
      <c r="F118" s="39" t="s">
        <v>826</v>
      </c>
      <c r="G118" s="40" t="s">
        <v>88</v>
      </c>
      <c r="H118" s="27" t="s">
        <v>760</v>
      </c>
      <c r="I118" s="28"/>
      <c r="J118" s="1" t="b">
        <f t="shared" si="3"/>
        <v>1</v>
      </c>
    </row>
    <row r="119" spans="1:10" x14ac:dyDescent="0.25">
      <c r="A119" s="25" t="s">
        <v>609</v>
      </c>
      <c r="B119" s="26" t="s">
        <v>83</v>
      </c>
      <c r="C119" s="37" t="s">
        <v>101</v>
      </c>
      <c r="D119" s="26" t="s">
        <v>620</v>
      </c>
      <c r="E119" s="37" t="s">
        <v>84</v>
      </c>
      <c r="F119" s="39" t="s">
        <v>826</v>
      </c>
      <c r="G119" s="37" t="s">
        <v>88</v>
      </c>
      <c r="H119" s="27" t="s">
        <v>757</v>
      </c>
      <c r="I119" s="26"/>
      <c r="J119" s="1" t="b">
        <f t="shared" si="3"/>
        <v>1</v>
      </c>
    </row>
    <row r="120" spans="1:10" x14ac:dyDescent="0.25">
      <c r="A120" s="25" t="s">
        <v>897</v>
      </c>
      <c r="B120" s="26" t="s">
        <v>80</v>
      </c>
      <c r="C120" s="37" t="s">
        <v>439</v>
      </c>
      <c r="D120" s="26" t="s">
        <v>898</v>
      </c>
      <c r="E120" s="37" t="s">
        <v>84</v>
      </c>
      <c r="F120" s="39" t="s">
        <v>895</v>
      </c>
      <c r="G120" s="37" t="s">
        <v>440</v>
      </c>
      <c r="H120" s="48" t="s">
        <v>758</v>
      </c>
      <c r="I120" s="26"/>
      <c r="J120" s="1" t="b">
        <f t="shared" si="3"/>
        <v>1</v>
      </c>
    </row>
    <row r="121" spans="1:10" x14ac:dyDescent="0.25">
      <c r="A121" s="25" t="s">
        <v>1341</v>
      </c>
      <c r="B121" s="26" t="s">
        <v>79</v>
      </c>
      <c r="C121" s="37" t="s">
        <v>439</v>
      </c>
      <c r="D121" s="26" t="s">
        <v>474</v>
      </c>
      <c r="E121" s="37" t="s">
        <v>85</v>
      </c>
      <c r="F121" s="39" t="s">
        <v>438</v>
      </c>
      <c r="G121" s="37" t="s">
        <v>440</v>
      </c>
      <c r="H121" s="27" t="s">
        <v>759</v>
      </c>
      <c r="I121" s="26"/>
      <c r="J121" s="1" t="b">
        <f t="shared" si="3"/>
        <v>1</v>
      </c>
    </row>
    <row r="122" spans="1:10" x14ac:dyDescent="0.25">
      <c r="A122" s="25" t="s">
        <v>105</v>
      </c>
      <c r="B122" s="26" t="s">
        <v>83</v>
      </c>
      <c r="C122" s="37" t="s">
        <v>101</v>
      </c>
      <c r="D122" s="26" t="s">
        <v>621</v>
      </c>
      <c r="E122" s="37" t="s">
        <v>84</v>
      </c>
      <c r="F122" s="39" t="s">
        <v>826</v>
      </c>
      <c r="G122" s="37" t="s">
        <v>88</v>
      </c>
      <c r="H122" s="27" t="s">
        <v>757</v>
      </c>
      <c r="I122" s="26"/>
      <c r="J122" s="1" t="b">
        <f t="shared" si="3"/>
        <v>1</v>
      </c>
    </row>
    <row r="123" spans="1:10" x14ac:dyDescent="0.25">
      <c r="A123" s="25" t="s">
        <v>1342</v>
      </c>
      <c r="B123" s="26" t="s">
        <v>80</v>
      </c>
      <c r="C123" s="37" t="s">
        <v>439</v>
      </c>
      <c r="D123" s="26" t="s">
        <v>522</v>
      </c>
      <c r="E123" s="37" t="s">
        <v>85</v>
      </c>
      <c r="F123" s="39" t="s">
        <v>478</v>
      </c>
      <c r="G123" s="37" t="s">
        <v>440</v>
      </c>
      <c r="H123" s="27" t="s">
        <v>759</v>
      </c>
      <c r="I123" s="26"/>
      <c r="J123" s="1" t="b">
        <f t="shared" si="3"/>
        <v>1</v>
      </c>
    </row>
    <row r="124" spans="1:10" x14ac:dyDescent="0.25">
      <c r="A124" s="25" t="s">
        <v>610</v>
      </c>
      <c r="B124" s="26" t="s">
        <v>83</v>
      </c>
      <c r="C124" s="37" t="s">
        <v>101</v>
      </c>
      <c r="D124" s="26" t="s">
        <v>622</v>
      </c>
      <c r="E124" s="37" t="s">
        <v>84</v>
      </c>
      <c r="F124" s="39" t="s">
        <v>826</v>
      </c>
      <c r="G124" s="37" t="s">
        <v>88</v>
      </c>
      <c r="H124" s="27" t="s">
        <v>757</v>
      </c>
      <c r="I124" s="26"/>
      <c r="J124" s="1" t="b">
        <f t="shared" si="3"/>
        <v>1</v>
      </c>
    </row>
    <row r="125" spans="1:10" x14ac:dyDescent="0.25">
      <c r="A125" s="25" t="s">
        <v>491</v>
      </c>
      <c r="B125" s="26" t="s">
        <v>80</v>
      </c>
      <c r="C125" s="37" t="s">
        <v>101</v>
      </c>
      <c r="D125" s="26" t="s">
        <v>511</v>
      </c>
      <c r="E125" s="37" t="s">
        <v>84</v>
      </c>
      <c r="F125" s="39" t="s">
        <v>826</v>
      </c>
      <c r="G125" s="37" t="s">
        <v>88</v>
      </c>
      <c r="H125" s="27" t="s">
        <v>760</v>
      </c>
      <c r="I125" s="26"/>
      <c r="J125" s="1" t="b">
        <f t="shared" si="3"/>
        <v>1</v>
      </c>
    </row>
    <row r="126" spans="1:10" x14ac:dyDescent="0.25">
      <c r="A126" s="25" t="s">
        <v>492</v>
      </c>
      <c r="B126" s="26" t="s">
        <v>80</v>
      </c>
      <c r="C126" s="37" t="s">
        <v>101</v>
      </c>
      <c r="D126" s="26" t="s">
        <v>512</v>
      </c>
      <c r="E126" s="37" t="s">
        <v>84</v>
      </c>
      <c r="F126" s="39" t="s">
        <v>826</v>
      </c>
      <c r="G126" s="37" t="s">
        <v>88</v>
      </c>
      <c r="H126" s="27" t="s">
        <v>760</v>
      </c>
      <c r="I126" s="26"/>
      <c r="J126" s="1" t="b">
        <f t="shared" si="3"/>
        <v>1</v>
      </c>
    </row>
    <row r="127" spans="1:10" x14ac:dyDescent="0.25">
      <c r="A127" s="25" t="s">
        <v>493</v>
      </c>
      <c r="B127" s="26" t="s">
        <v>80</v>
      </c>
      <c r="C127" s="37" t="s">
        <v>101</v>
      </c>
      <c r="D127" s="26" t="s">
        <v>513</v>
      </c>
      <c r="E127" s="37" t="s">
        <v>84</v>
      </c>
      <c r="F127" s="39" t="s">
        <v>826</v>
      </c>
      <c r="G127" s="37" t="s">
        <v>88</v>
      </c>
      <c r="H127" s="27" t="s">
        <v>760</v>
      </c>
      <c r="I127" s="26"/>
      <c r="J127" s="1" t="b">
        <f t="shared" si="3"/>
        <v>1</v>
      </c>
    </row>
    <row r="128" spans="1:10" x14ac:dyDescent="0.25">
      <c r="A128" s="35" t="s">
        <v>1343</v>
      </c>
      <c r="B128" s="26" t="s">
        <v>79</v>
      </c>
      <c r="C128" s="37" t="s">
        <v>101</v>
      </c>
      <c r="D128" s="36" t="s">
        <v>463</v>
      </c>
      <c r="E128" s="45" t="s">
        <v>84</v>
      </c>
      <c r="F128" s="39" t="s">
        <v>826</v>
      </c>
      <c r="G128" s="42" t="s">
        <v>88</v>
      </c>
      <c r="H128" s="27" t="s">
        <v>758</v>
      </c>
      <c r="I128" s="26"/>
      <c r="J128" s="1" t="b">
        <f t="shared" si="3"/>
        <v>1</v>
      </c>
    </row>
    <row r="129" spans="1:10" x14ac:dyDescent="0.25">
      <c r="A129" s="25" t="s">
        <v>1344</v>
      </c>
      <c r="B129" s="26" t="s">
        <v>81</v>
      </c>
      <c r="C129" s="37" t="s">
        <v>101</v>
      </c>
      <c r="D129" s="26" t="s">
        <v>542</v>
      </c>
      <c r="E129" s="37" t="s">
        <v>84</v>
      </c>
      <c r="F129" s="39" t="s">
        <v>826</v>
      </c>
      <c r="G129" s="37" t="s">
        <v>88</v>
      </c>
      <c r="H129" s="27" t="s">
        <v>760</v>
      </c>
      <c r="I129" s="26"/>
      <c r="J129" s="1" t="b">
        <f t="shared" si="3"/>
        <v>1</v>
      </c>
    </row>
    <row r="130" spans="1:10" x14ac:dyDescent="0.25">
      <c r="A130" s="25" t="s">
        <v>1345</v>
      </c>
      <c r="B130" s="26" t="s">
        <v>81</v>
      </c>
      <c r="C130" s="37" t="s">
        <v>439</v>
      </c>
      <c r="D130" s="26" t="s">
        <v>559</v>
      </c>
      <c r="E130" s="37" t="s">
        <v>85</v>
      </c>
      <c r="F130" s="39" t="s">
        <v>560</v>
      </c>
      <c r="G130" s="37" t="s">
        <v>440</v>
      </c>
      <c r="H130" s="27" t="s">
        <v>759</v>
      </c>
      <c r="I130" s="26"/>
      <c r="J130" s="1" t="b">
        <f t="shared" ref="J130:J156" si="4">ISNUMBER(SEARCH($K$1,A:A))</f>
        <v>1</v>
      </c>
    </row>
    <row r="131" spans="1:10" x14ac:dyDescent="0.25">
      <c r="A131" s="33" t="s">
        <v>426</v>
      </c>
      <c r="B131" s="26" t="s">
        <v>78</v>
      </c>
      <c r="C131" s="37" t="s">
        <v>101</v>
      </c>
      <c r="D131" s="32" t="s">
        <v>427</v>
      </c>
      <c r="E131" s="45" t="s">
        <v>84</v>
      </c>
      <c r="F131" s="39" t="s">
        <v>826</v>
      </c>
      <c r="G131" s="40" t="s">
        <v>88</v>
      </c>
      <c r="H131" s="27" t="s">
        <v>757</v>
      </c>
      <c r="I131" s="28"/>
      <c r="J131" s="1" t="b">
        <f t="shared" si="4"/>
        <v>1</v>
      </c>
    </row>
    <row r="132" spans="1:10" x14ac:dyDescent="0.25">
      <c r="A132" s="25" t="s">
        <v>1346</v>
      </c>
      <c r="B132" s="26" t="s">
        <v>78</v>
      </c>
      <c r="C132" s="37" t="s">
        <v>439</v>
      </c>
      <c r="D132" s="26" t="s">
        <v>899</v>
      </c>
      <c r="E132" s="37" t="s">
        <v>84</v>
      </c>
      <c r="F132" s="39" t="s">
        <v>900</v>
      </c>
      <c r="G132" s="37" t="s">
        <v>440</v>
      </c>
      <c r="H132" s="48" t="s">
        <v>758</v>
      </c>
      <c r="I132" s="26"/>
      <c r="J132" s="1" t="b">
        <f t="shared" si="4"/>
        <v>1</v>
      </c>
    </row>
    <row r="133" spans="1:10" x14ac:dyDescent="0.25">
      <c r="A133" s="29" t="s">
        <v>68</v>
      </c>
      <c r="B133" s="26" t="s">
        <v>80</v>
      </c>
      <c r="C133" s="38" t="s">
        <v>101</v>
      </c>
      <c r="D133" s="30" t="s">
        <v>514</v>
      </c>
      <c r="E133" s="38" t="s">
        <v>84</v>
      </c>
      <c r="F133" s="43" t="s">
        <v>826</v>
      </c>
      <c r="G133" s="38" t="s">
        <v>88</v>
      </c>
      <c r="H133" s="27" t="s">
        <v>760</v>
      </c>
      <c r="I133" s="26"/>
      <c r="J133" s="1" t="b">
        <f t="shared" si="4"/>
        <v>1</v>
      </c>
    </row>
    <row r="134" spans="1:10" x14ac:dyDescent="0.25">
      <c r="A134" s="25" t="s">
        <v>611</v>
      </c>
      <c r="B134" s="26" t="s">
        <v>83</v>
      </c>
      <c r="C134" s="37" t="s">
        <v>101</v>
      </c>
      <c r="D134" s="26" t="s">
        <v>623</v>
      </c>
      <c r="E134" s="38" t="s">
        <v>84</v>
      </c>
      <c r="F134" s="39" t="s">
        <v>826</v>
      </c>
      <c r="G134" s="37" t="s">
        <v>88</v>
      </c>
      <c r="H134" s="27" t="s">
        <v>758</v>
      </c>
      <c r="I134" s="26"/>
      <c r="J134" s="1" t="b">
        <f t="shared" si="4"/>
        <v>1</v>
      </c>
    </row>
    <row r="135" spans="1:10" x14ac:dyDescent="0.25">
      <c r="A135" s="25" t="s">
        <v>1347</v>
      </c>
      <c r="B135" s="26" t="s">
        <v>78</v>
      </c>
      <c r="C135" s="37" t="s">
        <v>439</v>
      </c>
      <c r="D135" s="26" t="s">
        <v>435</v>
      </c>
      <c r="E135" s="38" t="s">
        <v>84</v>
      </c>
      <c r="F135" s="39" t="s">
        <v>438</v>
      </c>
      <c r="G135" s="37" t="s">
        <v>440</v>
      </c>
      <c r="H135" s="27" t="s">
        <v>758</v>
      </c>
      <c r="I135" s="26"/>
      <c r="J135" s="1" t="b">
        <f t="shared" si="4"/>
        <v>1</v>
      </c>
    </row>
    <row r="136" spans="1:10" x14ac:dyDescent="0.25">
      <c r="A136" s="25" t="s">
        <v>1348</v>
      </c>
      <c r="B136" s="26" t="s">
        <v>80</v>
      </c>
      <c r="C136" s="37" t="s">
        <v>101</v>
      </c>
      <c r="D136" s="26" t="s">
        <v>515</v>
      </c>
      <c r="E136" s="38" t="s">
        <v>84</v>
      </c>
      <c r="F136" s="39" t="s">
        <v>826</v>
      </c>
      <c r="G136" s="37" t="s">
        <v>88</v>
      </c>
      <c r="H136" s="27" t="s">
        <v>757</v>
      </c>
      <c r="I136" s="26"/>
      <c r="J136" s="1" t="b">
        <f t="shared" si="4"/>
        <v>1</v>
      </c>
    </row>
    <row r="137" spans="1:10" x14ac:dyDescent="0.25">
      <c r="A137" s="25" t="s">
        <v>1349</v>
      </c>
      <c r="B137" s="26" t="s">
        <v>82</v>
      </c>
      <c r="C137" s="37" t="s">
        <v>439</v>
      </c>
      <c r="D137" s="26" t="s">
        <v>599</v>
      </c>
      <c r="E137" s="38" t="s">
        <v>85</v>
      </c>
      <c r="F137" s="39" t="s">
        <v>560</v>
      </c>
      <c r="G137" s="37" t="s">
        <v>440</v>
      </c>
      <c r="H137" s="27" t="s">
        <v>759</v>
      </c>
      <c r="I137" s="26"/>
      <c r="J137" s="1" t="b">
        <f t="shared" si="4"/>
        <v>1</v>
      </c>
    </row>
    <row r="138" spans="1:10" x14ac:dyDescent="0.25">
      <c r="A138" s="25" t="s">
        <v>1350</v>
      </c>
      <c r="B138" s="26" t="s">
        <v>81</v>
      </c>
      <c r="C138" s="37" t="s">
        <v>101</v>
      </c>
      <c r="D138" s="26" t="s">
        <v>543</v>
      </c>
      <c r="E138" s="38" t="s">
        <v>84</v>
      </c>
      <c r="F138" s="39" t="s">
        <v>826</v>
      </c>
      <c r="G138" s="37" t="s">
        <v>88</v>
      </c>
      <c r="H138" s="27" t="s">
        <v>757</v>
      </c>
      <c r="I138" s="26"/>
      <c r="J138" s="1" t="b">
        <f t="shared" si="4"/>
        <v>1</v>
      </c>
    </row>
    <row r="139" spans="1:10" x14ac:dyDescent="0.25">
      <c r="A139" s="25" t="s">
        <v>1351</v>
      </c>
      <c r="B139" s="26" t="s">
        <v>81</v>
      </c>
      <c r="C139" s="37" t="s">
        <v>101</v>
      </c>
      <c r="D139" s="26" t="s">
        <v>544</v>
      </c>
      <c r="E139" s="38" t="s">
        <v>84</v>
      </c>
      <c r="F139" s="39" t="s">
        <v>826</v>
      </c>
      <c r="G139" s="37" t="s">
        <v>88</v>
      </c>
      <c r="H139" s="27" t="s">
        <v>757</v>
      </c>
      <c r="I139" s="26"/>
      <c r="J139" s="1" t="b">
        <f t="shared" si="4"/>
        <v>1</v>
      </c>
    </row>
    <row r="140" spans="1:10" x14ac:dyDescent="0.25">
      <c r="A140" s="25" t="s">
        <v>1352</v>
      </c>
      <c r="B140" s="26" t="s">
        <v>79</v>
      </c>
      <c r="C140" s="37" t="s">
        <v>439</v>
      </c>
      <c r="D140" s="26" t="s">
        <v>475</v>
      </c>
      <c r="E140" s="38" t="s">
        <v>85</v>
      </c>
      <c r="F140" s="39" t="s">
        <v>476</v>
      </c>
      <c r="G140" s="37" t="s">
        <v>440</v>
      </c>
      <c r="H140" s="27" t="s">
        <v>759</v>
      </c>
      <c r="I140" s="26"/>
      <c r="J140" s="1" t="b">
        <f t="shared" si="4"/>
        <v>1</v>
      </c>
    </row>
    <row r="141" spans="1:10" x14ac:dyDescent="0.25">
      <c r="A141" s="33" t="s">
        <v>464</v>
      </c>
      <c r="B141" s="26" t="s">
        <v>79</v>
      </c>
      <c r="C141" s="37" t="s">
        <v>101</v>
      </c>
      <c r="D141" s="32" t="s">
        <v>465</v>
      </c>
      <c r="E141" s="46" t="s">
        <v>84</v>
      </c>
      <c r="F141" s="39" t="s">
        <v>826</v>
      </c>
      <c r="G141" s="42" t="s">
        <v>88</v>
      </c>
      <c r="H141" s="27" t="s">
        <v>760</v>
      </c>
      <c r="I141" s="26"/>
      <c r="J141" s="1" t="b">
        <f t="shared" si="4"/>
        <v>1</v>
      </c>
    </row>
    <row r="142" spans="1:10" x14ac:dyDescent="0.25">
      <c r="A142" s="33" t="s">
        <v>1353</v>
      </c>
      <c r="B142" s="26" t="s">
        <v>78</v>
      </c>
      <c r="C142" s="37" t="s">
        <v>439</v>
      </c>
      <c r="D142" s="32" t="s">
        <v>901</v>
      </c>
      <c r="E142" s="45" t="s">
        <v>901</v>
      </c>
      <c r="F142" s="39" t="s">
        <v>901</v>
      </c>
      <c r="G142" s="51" t="s">
        <v>901</v>
      </c>
      <c r="H142" s="50" t="s">
        <v>901</v>
      </c>
      <c r="I142" s="26"/>
      <c r="J142" s="1" t="b">
        <f t="shared" si="4"/>
        <v>1</v>
      </c>
    </row>
    <row r="143" spans="1:10" x14ac:dyDescent="0.25">
      <c r="A143" s="33" t="s">
        <v>1354</v>
      </c>
      <c r="B143" s="26" t="s">
        <v>79</v>
      </c>
      <c r="C143" s="37" t="s">
        <v>439</v>
      </c>
      <c r="D143" s="32" t="s">
        <v>901</v>
      </c>
      <c r="E143" s="45" t="s">
        <v>901</v>
      </c>
      <c r="F143" s="39" t="s">
        <v>901</v>
      </c>
      <c r="G143" s="51" t="s">
        <v>901</v>
      </c>
      <c r="H143" s="50" t="s">
        <v>901</v>
      </c>
      <c r="I143" s="26"/>
      <c r="J143" s="1" t="b">
        <f t="shared" si="4"/>
        <v>1</v>
      </c>
    </row>
    <row r="144" spans="1:10" x14ac:dyDescent="0.25">
      <c r="A144" s="33" t="s">
        <v>1355</v>
      </c>
      <c r="B144" s="26" t="s">
        <v>80</v>
      </c>
      <c r="C144" s="37" t="s">
        <v>439</v>
      </c>
      <c r="D144" s="32" t="s">
        <v>901</v>
      </c>
      <c r="E144" s="45" t="s">
        <v>901</v>
      </c>
      <c r="F144" s="39" t="s">
        <v>901</v>
      </c>
      <c r="G144" s="51" t="s">
        <v>901</v>
      </c>
      <c r="H144" s="50" t="s">
        <v>901</v>
      </c>
      <c r="I144" s="26"/>
      <c r="J144" s="1" t="b">
        <f t="shared" si="4"/>
        <v>1</v>
      </c>
    </row>
    <row r="145" spans="1:10" x14ac:dyDescent="0.25">
      <c r="A145" s="33" t="s">
        <v>1356</v>
      </c>
      <c r="B145" s="26" t="s">
        <v>81</v>
      </c>
      <c r="C145" s="37" t="s">
        <v>439</v>
      </c>
      <c r="D145" s="32" t="s">
        <v>901</v>
      </c>
      <c r="E145" s="45" t="s">
        <v>901</v>
      </c>
      <c r="F145" s="39" t="s">
        <v>901</v>
      </c>
      <c r="G145" s="51" t="s">
        <v>901</v>
      </c>
      <c r="H145" s="50" t="s">
        <v>901</v>
      </c>
      <c r="I145" s="26"/>
      <c r="J145" s="1" t="b">
        <f t="shared" si="4"/>
        <v>1</v>
      </c>
    </row>
    <row r="146" spans="1:10" x14ac:dyDescent="0.25">
      <c r="A146" s="33" t="s">
        <v>1357</v>
      </c>
      <c r="B146" s="26" t="s">
        <v>82</v>
      </c>
      <c r="C146" s="37" t="s">
        <v>439</v>
      </c>
      <c r="D146" s="32" t="s">
        <v>901</v>
      </c>
      <c r="E146" s="45" t="s">
        <v>901</v>
      </c>
      <c r="F146" s="39" t="s">
        <v>901</v>
      </c>
      <c r="G146" s="51" t="s">
        <v>901</v>
      </c>
      <c r="H146" s="50" t="s">
        <v>901</v>
      </c>
      <c r="I146" s="26"/>
      <c r="J146" s="1" t="b">
        <f t="shared" si="4"/>
        <v>1</v>
      </c>
    </row>
    <row r="147" spans="1:10" x14ac:dyDescent="0.25">
      <c r="A147" s="33" t="s">
        <v>1358</v>
      </c>
      <c r="B147" s="26" t="s">
        <v>83</v>
      </c>
      <c r="C147" s="37" t="s">
        <v>439</v>
      </c>
      <c r="D147" s="32" t="s">
        <v>901</v>
      </c>
      <c r="E147" s="45" t="s">
        <v>901</v>
      </c>
      <c r="F147" s="39" t="s">
        <v>901</v>
      </c>
      <c r="G147" s="51" t="s">
        <v>901</v>
      </c>
      <c r="H147" s="50" t="s">
        <v>901</v>
      </c>
      <c r="I147" s="26"/>
      <c r="J147" s="1" t="b">
        <f t="shared" si="4"/>
        <v>1</v>
      </c>
    </row>
    <row r="148" spans="1:10" x14ac:dyDescent="0.25">
      <c r="A148" s="25" t="s">
        <v>579</v>
      </c>
      <c r="B148" s="26" t="s">
        <v>82</v>
      </c>
      <c r="C148" s="37" t="s">
        <v>101</v>
      </c>
      <c r="D148" s="26" t="s">
        <v>594</v>
      </c>
      <c r="E148" s="38" t="s">
        <v>84</v>
      </c>
      <c r="F148" s="39" t="s">
        <v>826</v>
      </c>
      <c r="G148" s="37" t="s">
        <v>88</v>
      </c>
      <c r="H148" s="27" t="s">
        <v>760</v>
      </c>
      <c r="I148" s="26"/>
      <c r="J148" s="1" t="b">
        <f t="shared" si="4"/>
        <v>1</v>
      </c>
    </row>
    <row r="149" spans="1:10" x14ac:dyDescent="0.25">
      <c r="A149" s="25" t="s">
        <v>494</v>
      </c>
      <c r="B149" s="26" t="s">
        <v>80</v>
      </c>
      <c r="C149" s="37" t="s">
        <v>101</v>
      </c>
      <c r="D149" s="26" t="s">
        <v>516</v>
      </c>
      <c r="E149" s="38" t="s">
        <v>84</v>
      </c>
      <c r="F149" s="39" t="s">
        <v>826</v>
      </c>
      <c r="G149" s="37" t="s">
        <v>88</v>
      </c>
      <c r="H149" s="27" t="s">
        <v>758</v>
      </c>
      <c r="I149" s="26"/>
      <c r="J149" s="1" t="b">
        <f t="shared" si="4"/>
        <v>1</v>
      </c>
    </row>
    <row r="150" spans="1:10" x14ac:dyDescent="0.25">
      <c r="A150" s="25" t="s">
        <v>1359</v>
      </c>
      <c r="B150" s="26" t="s">
        <v>80</v>
      </c>
      <c r="C150" s="37" t="s">
        <v>101</v>
      </c>
      <c r="D150" s="26" t="s">
        <v>517</v>
      </c>
      <c r="E150" s="38" t="s">
        <v>84</v>
      </c>
      <c r="F150" s="39" t="s">
        <v>826</v>
      </c>
      <c r="G150" s="37" t="s">
        <v>88</v>
      </c>
      <c r="H150" s="27" t="s">
        <v>758</v>
      </c>
      <c r="I150" s="26"/>
      <c r="J150" s="1" t="b">
        <f t="shared" si="4"/>
        <v>1</v>
      </c>
    </row>
    <row r="151" spans="1:10" x14ac:dyDescent="0.25">
      <c r="A151" s="29" t="s">
        <v>1360</v>
      </c>
      <c r="B151" s="26" t="s">
        <v>81</v>
      </c>
      <c r="C151" s="37" t="s">
        <v>101</v>
      </c>
      <c r="D151" s="30" t="s">
        <v>545</v>
      </c>
      <c r="E151" s="38" t="s">
        <v>84</v>
      </c>
      <c r="F151" s="39" t="s">
        <v>826</v>
      </c>
      <c r="G151" s="37" t="s">
        <v>88</v>
      </c>
      <c r="H151" s="27" t="s">
        <v>758</v>
      </c>
      <c r="I151" s="26"/>
      <c r="J151" s="1" t="b">
        <f t="shared" si="4"/>
        <v>1</v>
      </c>
    </row>
    <row r="152" spans="1:10" x14ac:dyDescent="0.25">
      <c r="A152" s="35" t="s">
        <v>466</v>
      </c>
      <c r="B152" s="26" t="s">
        <v>79</v>
      </c>
      <c r="C152" s="38" t="s">
        <v>101</v>
      </c>
      <c r="D152" s="36" t="s">
        <v>467</v>
      </c>
      <c r="E152" s="46" t="s">
        <v>84</v>
      </c>
      <c r="F152" s="43" t="s">
        <v>826</v>
      </c>
      <c r="G152" s="47" t="s">
        <v>88</v>
      </c>
      <c r="H152" s="27" t="s">
        <v>760</v>
      </c>
      <c r="I152" s="30"/>
      <c r="J152" s="1" t="b">
        <f t="shared" si="4"/>
        <v>1</v>
      </c>
    </row>
    <row r="153" spans="1:10" x14ac:dyDescent="0.25">
      <c r="A153" s="29" t="s">
        <v>495</v>
      </c>
      <c r="B153" s="30" t="s">
        <v>80</v>
      </c>
      <c r="C153" s="38" t="s">
        <v>101</v>
      </c>
      <c r="D153" s="30" t="s">
        <v>518</v>
      </c>
      <c r="E153" s="38" t="s">
        <v>84</v>
      </c>
      <c r="F153" s="43" t="s">
        <v>826</v>
      </c>
      <c r="G153" s="38" t="s">
        <v>88</v>
      </c>
      <c r="H153" s="49" t="s">
        <v>760</v>
      </c>
      <c r="I153" s="30"/>
      <c r="J153" s="1" t="b">
        <f t="shared" si="4"/>
        <v>1</v>
      </c>
    </row>
    <row r="154" spans="1:10" x14ac:dyDescent="0.25">
      <c r="A154" s="33" t="s">
        <v>468</v>
      </c>
      <c r="B154" s="26" t="s">
        <v>79</v>
      </c>
      <c r="C154" s="37" t="s">
        <v>101</v>
      </c>
      <c r="D154" s="32" t="s">
        <v>469</v>
      </c>
      <c r="E154" s="45" t="s">
        <v>84</v>
      </c>
      <c r="F154" s="39" t="s">
        <v>826</v>
      </c>
      <c r="G154" s="42" t="s">
        <v>88</v>
      </c>
      <c r="H154" s="49" t="s">
        <v>758</v>
      </c>
      <c r="I154" s="26"/>
      <c r="J154" s="1" t="b">
        <f t="shared" si="4"/>
        <v>1</v>
      </c>
    </row>
    <row r="155" spans="1:10" x14ac:dyDescent="0.25">
      <c r="A155" s="33" t="s">
        <v>73</v>
      </c>
      <c r="B155" s="26" t="s">
        <v>79</v>
      </c>
      <c r="C155" s="37" t="s">
        <v>101</v>
      </c>
      <c r="D155" s="32" t="s">
        <v>470</v>
      </c>
      <c r="E155" s="45" t="s">
        <v>84</v>
      </c>
      <c r="F155" s="39" t="s">
        <v>826</v>
      </c>
      <c r="G155" s="42" t="s">
        <v>88</v>
      </c>
      <c r="H155" s="49" t="s">
        <v>758</v>
      </c>
      <c r="I155" s="26"/>
      <c r="J155" s="1" t="b">
        <f t="shared" si="4"/>
        <v>1</v>
      </c>
    </row>
    <row r="156" spans="1:10" x14ac:dyDescent="0.25">
      <c r="A156" s="25" t="s">
        <v>1361</v>
      </c>
      <c r="B156" s="26" t="s">
        <v>79</v>
      </c>
      <c r="C156" s="37" t="s">
        <v>439</v>
      </c>
      <c r="D156" s="26" t="s">
        <v>477</v>
      </c>
      <c r="E156" s="37" t="s">
        <v>85</v>
      </c>
      <c r="F156" s="39" t="s">
        <v>478</v>
      </c>
      <c r="G156" s="37" t="s">
        <v>440</v>
      </c>
      <c r="H156" s="49" t="s">
        <v>759</v>
      </c>
      <c r="I156" s="26"/>
      <c r="J156" s="1" t="b">
        <f t="shared" si="4"/>
        <v>1</v>
      </c>
    </row>
  </sheetData>
  <sheetProtection algorithmName="SHA-512" hashValue="I/Vv0o8ynWOndPCLSk21OPkeEd8oPR+Y+EbVE1bfubSGc2JqGU/UAQyib942NEbSJwkGf11qh63X3qlsvuqK4g==" saltValue="AHDyynco/Dsq8e2tToxQqA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36</vt:i4>
      </vt:variant>
    </vt:vector>
  </HeadingPairs>
  <TitlesOfParts>
    <vt:vector size="36" baseType="lpstr">
      <vt:lpstr>Manual</vt:lpstr>
      <vt:lpstr>Aike</vt:lpstr>
      <vt:lpstr>Altamir</vt:lpstr>
      <vt:lpstr>Andre</vt:lpstr>
      <vt:lpstr>Antonio</vt:lpstr>
      <vt:lpstr>Carlos</vt:lpstr>
      <vt:lpstr>Cassandro</vt:lpstr>
      <vt:lpstr>Celio</vt:lpstr>
      <vt:lpstr>Cileide</vt:lpstr>
      <vt:lpstr>Claudio</vt:lpstr>
      <vt:lpstr>Clovis</vt:lpstr>
      <vt:lpstr>Cristiano</vt:lpstr>
      <vt:lpstr>Daniele</vt:lpstr>
      <vt:lpstr>Fabio</vt:lpstr>
      <vt:lpstr>Francine</vt:lpstr>
      <vt:lpstr>Germano</vt:lpstr>
      <vt:lpstr>Jefferson</vt:lpstr>
      <vt:lpstr>Leo</vt:lpstr>
      <vt:lpstr>Leonardo</vt:lpstr>
      <vt:lpstr>Luís</vt:lpstr>
      <vt:lpstr>Mari</vt:lpstr>
      <vt:lpstr>Olivio</vt:lpstr>
      <vt:lpstr>Ricardo</vt:lpstr>
      <vt:lpstr>Rita</vt:lpstr>
      <vt:lpstr>Ef1</vt:lpstr>
      <vt:lpstr>Ef2</vt:lpstr>
      <vt:lpstr>Ef3</vt:lpstr>
      <vt:lpstr>Ef4</vt:lpstr>
      <vt:lpstr>Ef5</vt:lpstr>
      <vt:lpstr>Ef6</vt:lpstr>
      <vt:lpstr>Ef7</vt:lpstr>
      <vt:lpstr>POD</vt:lpstr>
      <vt:lpstr>Dados</vt:lpstr>
      <vt:lpstr>Grades Curriculares</vt:lpstr>
      <vt:lpstr>Grade Pós</vt:lpstr>
      <vt:lpstr>Profs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 SUITER</cp:lastModifiedBy>
  <cp:lastPrinted>2022-10-25T14:57:09Z</cp:lastPrinted>
  <dcterms:created xsi:type="dcterms:W3CDTF">2022-05-31T18:38:26Z</dcterms:created>
  <dcterms:modified xsi:type="dcterms:W3CDTF">2025-04-14T14:39:48Z</dcterms:modified>
</cp:coreProperties>
</file>